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50" windowHeight="4695" tabRatio="743" activeTab="0"/>
  </bookViews>
  <sheets>
    <sheet name="Inicio" sheetId="1" r:id="rId1"/>
    <sheet name="Datos" sheetId="2" state="hidden" r:id="rId2"/>
    <sheet name="Resumen" sheetId="3" state="hidden" r:id="rId3"/>
    <sheet name="Emisiones Combustión" sheetId="4" state="hidden" r:id="rId4"/>
    <sheet name="Emisiones Proceso Cementeras" sheetId="5" state="hidden" r:id="rId5"/>
    <sheet name="Emisiones Cal" sheetId="6" state="hidden" r:id="rId6"/>
    <sheet name="Emisiones Proceso" sheetId="7" state="hidden" r:id="rId7"/>
    <sheet name="Emisiones Proceso Agregado" sheetId="8" state="hidden" r:id="rId8"/>
    <sheet name="Emisiones Proceso Vídrio-Fritas" sheetId="9" state="hidden" r:id="rId9"/>
    <sheet name="Informe" sheetId="10" state="hidden" r:id="rId10"/>
  </sheets>
  <externalReferences>
    <externalReference r:id="rId13"/>
  </externalReferences>
  <definedNames>
    <definedName name="_xlnm.Print_Area" localSheetId="5">'Emisiones Cal'!$A$8:$M$32</definedName>
    <definedName name="_xlnm.Print_Area" localSheetId="3">'Emisiones Combustión'!$A$6:$U$127</definedName>
    <definedName name="_xlnm.Print_Area" localSheetId="6">'Emisiones Proceso'!$A$7:$K$117</definedName>
    <definedName name="_xlnm.Print_Area" localSheetId="4">'Emisiones Proceso Cementeras'!$A$6:$K$70</definedName>
    <definedName name="_xlnm.Print_Area" localSheetId="8">'Emisiones Proceso Vídrio-Fritas'!$A$8:$I$28</definedName>
    <definedName name="_xlnm.Print_Area" localSheetId="9">'Informe'!$A$1:$G$48</definedName>
    <definedName name="ListaFacOxi">'Datos'!$AX$3:$AX$5</definedName>
    <definedName name="ListaModos">'Datos'!$AX$6:$AX$6</definedName>
    <definedName name="TACTIVIDADES">'Datos'!$AS$2:$AT$9</definedName>
    <definedName name="TACTIVIDADES_CAMPOS">'Datos'!$AS$2:$AT$2</definedName>
    <definedName name="TACTIVIDADES_FILAS">'Datos'!$AS$2:$AS$9</definedName>
    <definedName name="TACTIVIDADES_LISTA">'Datos'!$AT$3:$AT$9</definedName>
    <definedName name="TANEXO">'Datos'!$P$2:$AG$10</definedName>
    <definedName name="TANEXO_CAMPOS">'Datos'!$P$2:$AG$2</definedName>
    <definedName name="TANEXO_FILAS">'Datos'!$P$2:$P$10</definedName>
    <definedName name="TANEXO_TIPO">'Datos'!$R$2:$R$10</definedName>
    <definedName name="TDispositivos">'Datos'!$BB$3:$BB$20</definedName>
    <definedName name="TRANGO">'Datos'!$A$2:$C$5</definedName>
    <definedName name="TRANGO_CAMPOS">'Datos'!$A$2:$C$2</definedName>
    <definedName name="TRANGO_FILAS">'Datos'!$A$2:$A$5</definedName>
    <definedName name="TRANGO_LISTA">'Datos'!$B$3:$B$4</definedName>
    <definedName name="TRdo">'Datos'!$BF$3:$BF$6</definedName>
    <definedName name="TSECTOR">'Datos'!$AI$2:$AL$18</definedName>
    <definedName name="TSECTOR_CAMPOS">'Datos'!$AI$2:$AL$2</definedName>
    <definedName name="TSECTOR_EPIGRAFES">'Datos'!$AL$2:$AL$18</definedName>
    <definedName name="TSECTOR_FILAS">'Datos'!$AI$2:$AI$18</definedName>
    <definedName name="TSECTOR_LISTA">'Datos'!$AJ$3:$AJ$18</definedName>
    <definedName name="TUNIDADES">'Datos'!$AN$2:$AQ$5</definedName>
    <definedName name="TUNIDADES_CAMPOS">'Datos'!$AN$2:$AQ$2</definedName>
    <definedName name="TUNIDADES_FILAS">'Datos'!$AN$2:$AN$5</definedName>
    <definedName name="TVALCAL">'Datos'!$E$2:$N$28</definedName>
    <definedName name="TVALCAL_CAMPOS">'Datos'!$E$2:$N$2</definedName>
    <definedName name="TVALCAL_FILAS">'Datos'!$E$2:$E$28</definedName>
    <definedName name="TVALCAL_LISTA">'Datos'!$F$3:$F$28</definedName>
    <definedName name="UniConsumo">'Datos'!$AO$3:$AO$5</definedName>
    <definedName name="UniEmision">'Datos'!$AQ$3:$AQ$5</definedName>
    <definedName name="UniVCN">'Datos'!$AP$3:$AP$5</definedName>
  </definedNames>
  <calcPr fullCalcOnLoad="1"/>
</workbook>
</file>

<file path=xl/sharedStrings.xml><?xml version="1.0" encoding="utf-8"?>
<sst xmlns="http://schemas.openxmlformats.org/spreadsheetml/2006/main" count="1411" uniqueCount="380">
  <si>
    <t>Unidad</t>
  </si>
  <si>
    <t>Combustible</t>
  </si>
  <si>
    <t>Tipo</t>
  </si>
  <si>
    <t>TABLA VALORES CALORIFICOS - TVALCAL</t>
  </si>
  <si>
    <t>G/L</t>
  </si>
  <si>
    <t>Combustion</t>
  </si>
  <si>
    <t>ACT_A</t>
  </si>
  <si>
    <t>ACT_B</t>
  </si>
  <si>
    <t>ACT_C</t>
  </si>
  <si>
    <t>CAL_A</t>
  </si>
  <si>
    <t>CAL_B</t>
  </si>
  <si>
    <t>CAL_C</t>
  </si>
  <si>
    <t>EMI_A</t>
  </si>
  <si>
    <t>EMI_B</t>
  </si>
  <si>
    <t>EMI_C</t>
  </si>
  <si>
    <t>OXI_A</t>
  </si>
  <si>
    <t>OXI_B</t>
  </si>
  <si>
    <t>OXI_C</t>
  </si>
  <si>
    <t>TABLA ANEXO - TANEXO</t>
  </si>
  <si>
    <t>Emisiones</t>
  </si>
  <si>
    <t>A</t>
  </si>
  <si>
    <t>B</t>
  </si>
  <si>
    <t>C</t>
  </si>
  <si>
    <t>TABLA RANGO DE EMISION - TRANGO</t>
  </si>
  <si>
    <t>Id</t>
  </si>
  <si>
    <t>D</t>
  </si>
  <si>
    <t>Nivel</t>
  </si>
  <si>
    <t>S</t>
  </si>
  <si>
    <t>Tipo Combustible</t>
  </si>
  <si>
    <t>Id Anexo</t>
  </si>
  <si>
    <t>Valor Calorifico</t>
  </si>
  <si>
    <t>EMISIONES DE COMBUSTIÓN (CÁLCULO)</t>
  </si>
  <si>
    <t>Actividad 1:</t>
  </si>
  <si>
    <t>Datos de la actividad</t>
  </si>
  <si>
    <t>Valor</t>
  </si>
  <si>
    <t>E</t>
  </si>
  <si>
    <t>G</t>
  </si>
  <si>
    <t>F</t>
  </si>
  <si>
    <t>H</t>
  </si>
  <si>
    <t>Actividad 2:</t>
  </si>
  <si>
    <t>Factor de conversión</t>
  </si>
  <si>
    <t>t totales</t>
  </si>
  <si>
    <r>
      <t>Identif CO</t>
    </r>
    <r>
      <rPr>
        <vertAlign val="subscript"/>
        <sz val="8"/>
        <rFont val="Arial"/>
        <family val="2"/>
      </rPr>
      <t>3</t>
    </r>
    <r>
      <rPr>
        <vertAlign val="superscript"/>
        <sz val="8"/>
        <rFont val="Arial"/>
        <family val="2"/>
      </rPr>
      <t>2-</t>
    </r>
  </si>
  <si>
    <r>
      <t>t CO</t>
    </r>
    <r>
      <rPr>
        <vertAlign val="subscript"/>
        <sz val="8"/>
        <rFont val="Arial"/>
        <family val="2"/>
      </rPr>
      <t>3</t>
    </r>
    <r>
      <rPr>
        <vertAlign val="superscript"/>
        <sz val="8"/>
        <rFont val="Arial"/>
        <family val="2"/>
      </rPr>
      <t>2-</t>
    </r>
  </si>
  <si>
    <t>Ca</t>
  </si>
  <si>
    <t>Mg</t>
  </si>
  <si>
    <t>Na</t>
  </si>
  <si>
    <t>Ba</t>
  </si>
  <si>
    <t>K</t>
  </si>
  <si>
    <t>Li</t>
  </si>
  <si>
    <t>Sr</t>
  </si>
  <si>
    <t>Totales</t>
  </si>
  <si>
    <t>Factor de emisión ponderado</t>
  </si>
  <si>
    <t>Id Rango</t>
  </si>
  <si>
    <t>Tipo Rango</t>
  </si>
  <si>
    <t>Id Combustible</t>
  </si>
  <si>
    <t>FacEmi</t>
  </si>
  <si>
    <t>O</t>
  </si>
  <si>
    <t>COMBUSTIBLE 1</t>
  </si>
  <si>
    <t>COMBUSTIBLE 2</t>
  </si>
  <si>
    <t>COMBUSTIBLE 3</t>
  </si>
  <si>
    <t>COMBUSTIBLE 4</t>
  </si>
  <si>
    <t>COMBUSTIBLE 5</t>
  </si>
  <si>
    <t>Carbón nacional (S)</t>
  </si>
  <si>
    <t>Carbón de importación (S)</t>
  </si>
  <si>
    <t>TJ/t</t>
  </si>
  <si>
    <t>TJ/m3</t>
  </si>
  <si>
    <t>V.C.N.</t>
  </si>
  <si>
    <t>Comb. Sólido - Especificar (S)</t>
  </si>
  <si>
    <t>Comb. Gas/Liq.- Especificar (G/L)</t>
  </si>
  <si>
    <t>&gt;50.000t Y &lt;=500.000t</t>
  </si>
  <si>
    <t>&gt; 500.000 t</t>
  </si>
  <si>
    <t>CNV_A</t>
  </si>
  <si>
    <t>CNV_B</t>
  </si>
  <si>
    <t>CNV_C</t>
  </si>
  <si>
    <t>n.a.</t>
  </si>
  <si>
    <t>CeC</t>
  </si>
  <si>
    <t>Cemento - clinker</t>
  </si>
  <si>
    <t>Cal - carbonatos</t>
  </si>
  <si>
    <t>CaC</t>
  </si>
  <si>
    <t>Vidrio - carbonatos</t>
  </si>
  <si>
    <t>ViC</t>
  </si>
  <si>
    <t>CmC</t>
  </si>
  <si>
    <t>toneladas</t>
  </si>
  <si>
    <t>Cemento expedido</t>
  </si>
  <si>
    <t>CaO salida</t>
  </si>
  <si>
    <t>Existencias clínker final</t>
  </si>
  <si>
    <t>Existencias clínker inicio</t>
  </si>
  <si>
    <t>Existencias cemento final</t>
  </si>
  <si>
    <t>MgO salida</t>
  </si>
  <si>
    <t>Existencias cemento inicio</t>
  </si>
  <si>
    <t>Sector</t>
  </si>
  <si>
    <t>Fritas</t>
  </si>
  <si>
    <t>Vídrio</t>
  </si>
  <si>
    <t>TABLA SECTORES - TSECTOR</t>
  </si>
  <si>
    <t>ACTIVIDAD</t>
  </si>
  <si>
    <t>EMISIONES</t>
  </si>
  <si>
    <r>
      <t xml:space="preserve"> tCO</t>
    </r>
    <r>
      <rPr>
        <b/>
        <vertAlign val="subscript"/>
        <sz val="8"/>
        <rFont val="Arial"/>
        <family val="2"/>
      </rPr>
      <t>2</t>
    </r>
  </si>
  <si>
    <r>
      <t>Emisiones anuales de CO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(t) en la instalación</t>
    </r>
    <r>
      <rPr>
        <b/>
        <sz val="10"/>
        <color indexed="10"/>
        <rFont val="Arial"/>
        <family val="2"/>
      </rPr>
      <t>:</t>
    </r>
  </si>
  <si>
    <t xml:space="preserve">Factor de oxidación </t>
  </si>
  <si>
    <t>TOTAL EMISIONES POR ACTIVIDAD</t>
  </si>
  <si>
    <t xml:space="preserve"> EMISIONES TOTALES DE COMBUSTIÓN:</t>
  </si>
  <si>
    <t>SECTOR DEL CEMENTO</t>
  </si>
  <si>
    <t>EMISIONES DE PROCESO (CÁLCULO)</t>
  </si>
  <si>
    <t>Datos de la actividad (t clínker)</t>
  </si>
  <si>
    <t>t clínker totales</t>
  </si>
  <si>
    <t xml:space="preserve"> EMISIONES TOTALES DE PROCESO :</t>
  </si>
  <si>
    <t xml:space="preserve">Valor </t>
  </si>
  <si>
    <t xml:space="preserve">Sector </t>
  </si>
  <si>
    <t>Rango</t>
  </si>
  <si>
    <t>Emisiones de combustión</t>
  </si>
  <si>
    <t>Actividad 1</t>
  </si>
  <si>
    <t>Actividad 2</t>
  </si>
  <si>
    <t>Emisiones de proceso</t>
  </si>
  <si>
    <t>Actividad</t>
  </si>
  <si>
    <t>Cal</t>
  </si>
  <si>
    <t>Método del clínker</t>
  </si>
  <si>
    <t>Actividad :</t>
  </si>
  <si>
    <t>SECTOR DE VIDRIO / FRITAS</t>
  </si>
  <si>
    <t>Informe de síntesis de emisiones</t>
  </si>
  <si>
    <t>EMISIONES DE COMBUSTIÓN</t>
  </si>
  <si>
    <r>
      <t xml:space="preserve">VALOR </t>
    </r>
    <r>
      <rPr>
        <sz val="11"/>
        <rFont val="Arial"/>
        <family val="2"/>
      </rPr>
      <t>(tCO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/AÑO)</t>
    </r>
  </si>
  <si>
    <r>
      <t xml:space="preserve">EMISIONES TOTALES COMBUSTIÓN </t>
    </r>
    <r>
      <rPr>
        <sz val="11"/>
        <rFont val="Arial"/>
        <family val="2"/>
      </rPr>
      <t>(t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/año)</t>
    </r>
    <r>
      <rPr>
        <b/>
        <sz val="11"/>
        <rFont val="Arial"/>
        <family val="2"/>
      </rPr>
      <t>:</t>
    </r>
  </si>
  <si>
    <t>EMISIONES DE PROCESO</t>
  </si>
  <si>
    <r>
      <t xml:space="preserve">EMISIONES TOTALES PROCESO </t>
    </r>
    <r>
      <rPr>
        <sz val="11"/>
        <rFont val="Arial"/>
        <family val="2"/>
      </rPr>
      <t>(t CO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/año)</t>
    </r>
    <r>
      <rPr>
        <b/>
        <sz val="11"/>
        <rFont val="Arial"/>
        <family val="2"/>
      </rPr>
      <t>:</t>
    </r>
  </si>
  <si>
    <r>
      <t>INFORME VERIFICADO DE EMISIONES DE CO</t>
    </r>
    <r>
      <rPr>
        <b/>
        <vertAlign val="subscript"/>
        <sz val="18"/>
        <rFont val="Arial"/>
        <family val="2"/>
      </rPr>
      <t>2</t>
    </r>
  </si>
  <si>
    <t xml:space="preserve">Sector: </t>
  </si>
  <si>
    <t xml:space="preserve">Rango: </t>
  </si>
  <si>
    <t>CIF</t>
  </si>
  <si>
    <r>
      <t>A. Síntesis de las emisiones de CO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 xml:space="preserve"> generadas en la instalación.</t>
    </r>
  </si>
  <si>
    <r>
      <t>EMISIONES TOTALES (t CO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/año):</t>
    </r>
  </si>
  <si>
    <t>Clínker expedido</t>
  </si>
  <si>
    <t>Clínker comprado</t>
  </si>
  <si>
    <t>Adiciones consumidas</t>
  </si>
  <si>
    <t>IVE-02     PROGRAMA DE CÁLCULO DE EMISIONES</t>
  </si>
  <si>
    <t>--- Seleccione combustible ---</t>
  </si>
  <si>
    <t>UniConsumo</t>
  </si>
  <si>
    <t>UniVCN</t>
  </si>
  <si>
    <t>UniEmision</t>
  </si>
  <si>
    <r>
      <t>m</t>
    </r>
    <r>
      <rPr>
        <vertAlign val="superscript"/>
        <sz val="10"/>
        <rFont val="Arial"/>
        <family val="2"/>
      </rPr>
      <t>3</t>
    </r>
  </si>
  <si>
    <t>t</t>
  </si>
  <si>
    <r>
      <t>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/TJ</t>
    </r>
  </si>
  <si>
    <r>
      <t>TJ/m</t>
    </r>
    <r>
      <rPr>
        <vertAlign val="superscript"/>
        <sz val="10"/>
        <rFont val="Arial"/>
        <family val="2"/>
      </rPr>
      <t>3</t>
    </r>
  </si>
  <si>
    <r>
      <t>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/t</t>
    </r>
  </si>
  <si>
    <t>Factor de emisión</t>
  </si>
  <si>
    <t/>
  </si>
  <si>
    <t>* Nota: si se añaden nuevos combustibles hay que modificar dos constantes en los módulos de programación</t>
  </si>
  <si>
    <t>EsBio</t>
  </si>
  <si>
    <t>N</t>
  </si>
  <si>
    <t>&lt;= 50.000 t</t>
  </si>
  <si>
    <t>Coque metalúrgico (S) (vidrio)</t>
  </si>
  <si>
    <t>Coque de petróleo (S) (cal)</t>
  </si>
  <si>
    <t>Coque siderúrgico (S) (cal)</t>
  </si>
  <si>
    <t>SECTOR</t>
  </si>
  <si>
    <t>CENTRO</t>
  </si>
  <si>
    <t>NIVEL EMISION</t>
  </si>
  <si>
    <t>ID_COMBUSTIBLE</t>
  </si>
  <si>
    <t>CONSUMO</t>
  </si>
  <si>
    <t>UDS_CONSUMO</t>
  </si>
  <si>
    <t>UDS_VCN</t>
  </si>
  <si>
    <t>VCN</t>
  </si>
  <si>
    <t>FACTOR_EMISION</t>
  </si>
  <si>
    <t>UDS_FACTOR_EMISION</t>
  </si>
  <si>
    <t>FACTOR_OXIDACION</t>
  </si>
  <si>
    <t>TOTAL_EMISIONES</t>
  </si>
  <si>
    <t>NP_CONSUMO_DEFAULT</t>
  </si>
  <si>
    <t>NP_CONSUMO_OTRO</t>
  </si>
  <si>
    <t>NP_VCN_OTRO</t>
  </si>
  <si>
    <t>NP_VCN</t>
  </si>
  <si>
    <t>NP_FACTOR_EMISION</t>
  </si>
  <si>
    <t>NP_FACTOR_EMISION_OTRO</t>
  </si>
  <si>
    <t>NP_FACTOR_OXIDACION</t>
  </si>
  <si>
    <t>NP_FACTOR_OXIDACION_OTRO</t>
  </si>
  <si>
    <t>DATOS DEL CENTRO</t>
  </si>
  <si>
    <t>COMBUSTION</t>
  </si>
  <si>
    <t>COMBUSTIBLES</t>
  </si>
  <si>
    <t>*</t>
  </si>
  <si>
    <t>#</t>
  </si>
  <si>
    <t>PROCESO - CEMENTERAS</t>
  </si>
  <si>
    <t>ID_MATERIA</t>
  </si>
  <si>
    <t>DATOS_ACTIVIDAD</t>
  </si>
  <si>
    <t>NP_DATOS_ACT</t>
  </si>
  <si>
    <t>UDS_DATOS_ACT</t>
  </si>
  <si>
    <t>FACTOR_CONVERSION</t>
  </si>
  <si>
    <t>NP_FACTOR_CONVERSION</t>
  </si>
  <si>
    <t>PROCESO - CERAMICA</t>
  </si>
  <si>
    <t>PROCESO - VIDRIO</t>
  </si>
  <si>
    <t>Cogeneración</t>
  </si>
  <si>
    <t>Producción de energía eléctrica</t>
  </si>
  <si>
    <t>Refinerías de hidrocarburos</t>
  </si>
  <si>
    <t>Coquerías</t>
  </si>
  <si>
    <t>Calcinación o sinterización de minerales metálicos</t>
  </si>
  <si>
    <t>Arrabio o acero</t>
  </si>
  <si>
    <t>Cemento</t>
  </si>
  <si>
    <t>Azulejos, gres cerámico o porcelanas</t>
  </si>
  <si>
    <t>Pasta de papel</t>
  </si>
  <si>
    <t>Papel y cartón</t>
  </si>
  <si>
    <t>Otra combustión</t>
  </si>
  <si>
    <t>Tejas y ladrillos</t>
  </si>
  <si>
    <t>1A</t>
  </si>
  <si>
    <t>1B</t>
  </si>
  <si>
    <t>1C</t>
  </si>
  <si>
    <t>6A</t>
  </si>
  <si>
    <t>6B</t>
  </si>
  <si>
    <t>7A</t>
  </si>
  <si>
    <t>7B</t>
  </si>
  <si>
    <t>8A</t>
  </si>
  <si>
    <t>8B</t>
  </si>
  <si>
    <t>9A</t>
  </si>
  <si>
    <t>9B</t>
  </si>
  <si>
    <t xml:space="preserve">    Centro</t>
  </si>
  <si>
    <t>Combus</t>
  </si>
  <si>
    <t>Epígrafe</t>
  </si>
  <si>
    <t>0</t>
  </si>
  <si>
    <t>Vacío</t>
  </si>
  <si>
    <t>Ceram</t>
  </si>
  <si>
    <t>Cemen</t>
  </si>
  <si>
    <t>TABLA ACTIVIDADES - TACTIVIDADES</t>
  </si>
  <si>
    <t>TABLA UNIDADES - TUNIDADES</t>
  </si>
  <si>
    <t>NomActividad</t>
  </si>
  <si>
    <t>--- Seleccione sector ---</t>
  </si>
  <si>
    <t>--- Seleccione actividad ---</t>
  </si>
  <si>
    <t>Actividades energéticas</t>
  </si>
  <si>
    <t>Producción y transformación de metales férreos</t>
  </si>
  <si>
    <t>Industrias minerales</t>
  </si>
  <si>
    <t>Industria química e instalaciones químicas</t>
  </si>
  <si>
    <t>Gestión de residuos</t>
  </si>
  <si>
    <t>Otras actividades</t>
  </si>
  <si>
    <t>m3</t>
  </si>
  <si>
    <t>UdConsumo</t>
  </si>
  <si>
    <t>EXPEDIENTE</t>
  </si>
  <si>
    <t>COMBUSTIBLE_ESPECIFICO</t>
  </si>
  <si>
    <t>EPIGRAFE</t>
  </si>
  <si>
    <t>CEMENTO BLANCO</t>
  </si>
  <si>
    <t>CEMENTO GRIS</t>
  </si>
  <si>
    <t>PROCESO</t>
  </si>
  <si>
    <t>MATERIA PRIMA 1 (salida)</t>
  </si>
  <si>
    <t>MATERIA PRIMA 2 (salida)</t>
  </si>
  <si>
    <t>Arcilla 1</t>
  </si>
  <si>
    <t>Arcilla 2</t>
  </si>
  <si>
    <t>Fuelóleo pesado (G/L)</t>
  </si>
  <si>
    <t>CCE</t>
  </si>
  <si>
    <t>Otros combustibles líquidos y gaseosos</t>
  </si>
  <si>
    <t>Combustibles sólidos</t>
  </si>
  <si>
    <t>Combustibles comerciales estándar</t>
  </si>
  <si>
    <r>
      <t xml:space="preserve">Flujo de combustible                        </t>
    </r>
    <r>
      <rPr>
        <sz val="7"/>
        <rFont val="Arial"/>
        <family val="2"/>
      </rPr>
      <t>A- (m3 ó t)</t>
    </r>
    <r>
      <rPr>
        <sz val="5"/>
        <rFont val="Arial"/>
        <family val="2"/>
      </rPr>
      <t xml:space="preserve">                                                                                          </t>
    </r>
    <r>
      <rPr>
        <sz val="7"/>
        <rFont val="Arial"/>
        <family val="2"/>
      </rPr>
      <t>B- Datos factura (TJ)</t>
    </r>
    <r>
      <rPr>
        <sz val="5"/>
        <rFont val="Arial"/>
        <family val="2"/>
      </rPr>
      <t xml:space="preserve"> </t>
    </r>
  </si>
  <si>
    <r>
      <t xml:space="preserve">Flujo de combustible                        </t>
    </r>
    <r>
      <rPr>
        <sz val="7"/>
        <rFont val="Arial"/>
        <family val="2"/>
      </rPr>
      <t xml:space="preserve">A- (m3 ó t)  </t>
    </r>
    <r>
      <rPr>
        <sz val="5"/>
        <rFont val="Arial"/>
        <family val="2"/>
      </rPr>
      <t xml:space="preserve">                                                                                        </t>
    </r>
    <r>
      <rPr>
        <sz val="7"/>
        <rFont val="Arial"/>
        <family val="2"/>
      </rPr>
      <t>B- Datos factura (TJ)</t>
    </r>
    <r>
      <rPr>
        <sz val="5"/>
        <rFont val="Arial"/>
        <family val="2"/>
      </rPr>
      <t xml:space="preserve"> </t>
    </r>
  </si>
  <si>
    <r>
      <t xml:space="preserve">V.C.N.                         </t>
    </r>
    <r>
      <rPr>
        <sz val="7"/>
        <rFont val="Arial"/>
        <family val="2"/>
      </rPr>
      <t>C- Inventario</t>
    </r>
    <r>
      <rPr>
        <sz val="5"/>
        <rFont val="Arial"/>
        <family val="2"/>
      </rPr>
      <t xml:space="preserve">                                                        </t>
    </r>
    <r>
      <rPr>
        <sz val="7"/>
        <rFont val="Arial"/>
        <family val="2"/>
      </rPr>
      <t>D -Factura o medido</t>
    </r>
    <r>
      <rPr>
        <sz val="5"/>
        <rFont val="Arial"/>
        <family val="2"/>
      </rPr>
      <t xml:space="preserve">  </t>
    </r>
  </si>
  <si>
    <r>
      <t xml:space="preserve">Nivel de planteamiento                                                                                                                          </t>
    </r>
    <r>
      <rPr>
        <sz val="7"/>
        <rFont val="Arial"/>
        <family val="2"/>
      </rPr>
      <t>Predeterminado</t>
    </r>
    <r>
      <rPr>
        <sz val="5"/>
        <rFont val="Arial"/>
        <family val="2"/>
      </rPr>
      <t xml:space="preserve">           </t>
    </r>
    <r>
      <rPr>
        <sz val="7"/>
        <rFont val="Arial"/>
        <family val="2"/>
      </rPr>
      <t>Otro</t>
    </r>
    <r>
      <rPr>
        <sz val="5"/>
        <rFont val="Arial"/>
        <family val="2"/>
      </rPr>
      <t xml:space="preserve">                           </t>
    </r>
  </si>
  <si>
    <r>
      <t xml:space="preserve">Valor                                                             </t>
    </r>
    <r>
      <rPr>
        <sz val="7"/>
        <rFont val="Arial"/>
        <family val="2"/>
      </rPr>
      <t>E- Inventario</t>
    </r>
    <r>
      <rPr>
        <sz val="5"/>
        <rFont val="Arial"/>
        <family val="2"/>
      </rPr>
      <t xml:space="preserve">                                                                                 </t>
    </r>
    <r>
      <rPr>
        <sz val="7"/>
        <rFont val="Arial"/>
        <family val="2"/>
      </rPr>
      <t>F- Factura o medido</t>
    </r>
  </si>
  <si>
    <r>
      <t xml:space="preserve">Valor                            </t>
    </r>
    <r>
      <rPr>
        <sz val="5"/>
        <rFont val="Arial"/>
        <family val="2"/>
      </rPr>
      <t xml:space="preserve">             </t>
    </r>
    <r>
      <rPr>
        <sz val="7"/>
        <rFont val="Arial"/>
        <family val="2"/>
      </rPr>
      <t>G-Inventario</t>
    </r>
    <r>
      <rPr>
        <sz val="5"/>
        <rFont val="Arial"/>
        <family val="2"/>
      </rPr>
      <t xml:space="preserve">                                     </t>
    </r>
    <r>
      <rPr>
        <sz val="8"/>
        <rFont val="Arial"/>
        <family val="2"/>
      </rPr>
      <t xml:space="preserve">        </t>
    </r>
    <r>
      <rPr>
        <sz val="7"/>
        <rFont val="Arial"/>
        <family val="2"/>
      </rPr>
      <t>H-Factura o medido</t>
    </r>
  </si>
  <si>
    <r>
      <t xml:space="preserve">Nivel de planteamiento                                        </t>
    </r>
    <r>
      <rPr>
        <sz val="7"/>
        <rFont val="Arial"/>
        <family val="2"/>
      </rPr>
      <t xml:space="preserve">Predeterminado     Otro </t>
    </r>
    <r>
      <rPr>
        <sz val="5"/>
        <rFont val="Arial"/>
        <family val="2"/>
      </rPr>
      <t xml:space="preserve">               </t>
    </r>
  </si>
  <si>
    <t>NoSelec</t>
  </si>
  <si>
    <t>2b</t>
  </si>
  <si>
    <t>FacOxi</t>
  </si>
  <si>
    <t>2a</t>
  </si>
  <si>
    <t>Carbono no carbonatado</t>
  </si>
  <si>
    <t>CenC</t>
  </si>
  <si>
    <t>Método del Carbono no Carbonatado</t>
  </si>
  <si>
    <t>Datos de actividad (t de C no carbonatado )</t>
  </si>
  <si>
    <t>TABLA VALORES LISTAS - TLISTAS</t>
  </si>
  <si>
    <t>Lista</t>
  </si>
  <si>
    <t>EMISIONES RELACIONADAS CON LA PRODUCCION DEL CLINKER</t>
  </si>
  <si>
    <t>Cenizas aportadas por combustibles</t>
  </si>
  <si>
    <t>t de crudo consumido:</t>
  </si>
  <si>
    <r>
      <t>Emisiones anuales de CO</t>
    </r>
    <r>
      <rPr>
        <b/>
        <vertAlign val="subscript"/>
        <sz val="10"/>
        <color indexed="10"/>
        <rFont val="Arial"/>
        <family val="2"/>
      </rPr>
      <t>2</t>
    </r>
    <r>
      <rPr>
        <b/>
        <sz val="10"/>
        <color indexed="10"/>
        <rFont val="Arial"/>
        <family val="2"/>
      </rPr>
      <t xml:space="preserve"> (t) en la instalación:</t>
    </r>
  </si>
  <si>
    <t>Ceramica - carbono de los materiales de entrada</t>
  </si>
  <si>
    <t>SECTOR CAL</t>
  </si>
  <si>
    <t>Método carbonatos</t>
  </si>
  <si>
    <t>Cantidad material de entrada (t)</t>
  </si>
  <si>
    <r>
      <t>Valor (t CO</t>
    </r>
    <r>
      <rPr>
        <vertAlign val="subscript"/>
        <sz val="8"/>
        <rFont val="Arial"/>
        <family val="2"/>
      </rPr>
      <t xml:space="preserve">2 </t>
    </r>
    <r>
      <rPr>
        <sz val="8"/>
        <rFont val="Arial"/>
        <family val="2"/>
      </rPr>
      <t>/ t CO</t>
    </r>
    <r>
      <rPr>
        <vertAlign val="subscript"/>
        <sz val="8"/>
        <rFont val="Arial"/>
        <family val="2"/>
      </rPr>
      <t>3</t>
    </r>
    <r>
      <rPr>
        <vertAlign val="superscript"/>
        <sz val="8"/>
        <rFont val="Arial"/>
        <family val="2"/>
      </rPr>
      <t xml:space="preserve">2- </t>
    </r>
    <r>
      <rPr>
        <sz val="8"/>
        <rFont val="Arial"/>
        <family val="2"/>
      </rPr>
      <t>)</t>
    </r>
  </si>
  <si>
    <r>
      <t>% CO</t>
    </r>
    <r>
      <rPr>
        <vertAlign val="subscript"/>
        <sz val="8"/>
        <rFont val="Arial"/>
        <family val="2"/>
      </rPr>
      <t>3</t>
    </r>
    <r>
      <rPr>
        <vertAlign val="superscript"/>
        <sz val="8"/>
        <rFont val="Arial"/>
        <family val="2"/>
      </rPr>
      <t>2-</t>
    </r>
  </si>
  <si>
    <r>
      <t>Factor de emisión  (tCO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/t material de entrada)</t>
    </r>
  </si>
  <si>
    <t>SECTOR CERÁMICA / TEJAS Y LADRILLOS</t>
  </si>
  <si>
    <t>Modo</t>
  </si>
  <si>
    <t>Agregado</t>
  </si>
  <si>
    <t xml:space="preserve">SECTOR CERÁMICA / TEJAS Y LADRILLOS. </t>
  </si>
  <si>
    <t xml:space="preserve">MODO AGREGADO - CARBONO TOTAL A LA ENTRADA Y CARBONO INORGÁNICO EN FORMA DE CARBONATOS A LA SALIDA  </t>
  </si>
  <si>
    <t>CARBONO TOTAL</t>
  </si>
  <si>
    <t>MATERIA PRIMA 1         (entrada)</t>
  </si>
  <si>
    <t>t totales de C</t>
  </si>
  <si>
    <t>CARBONATOS</t>
  </si>
  <si>
    <t>EMISIONES TOTALES DE PROCESO</t>
  </si>
  <si>
    <r>
      <t>EMISIONES tCO</t>
    </r>
    <r>
      <rPr>
        <b/>
        <vertAlign val="subscript"/>
        <sz val="8"/>
        <rFont val="Arial"/>
        <family val="2"/>
      </rPr>
      <t>2</t>
    </r>
  </si>
  <si>
    <r>
      <t>Factor de emisión  (tCO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/tCO</t>
    </r>
    <r>
      <rPr>
        <b/>
        <vertAlign val="subscript"/>
        <sz val="8"/>
        <rFont val="Arial"/>
        <family val="2"/>
      </rPr>
      <t>3</t>
    </r>
    <r>
      <rPr>
        <b/>
        <vertAlign val="superscript"/>
        <sz val="8"/>
        <rFont val="Arial"/>
        <family val="2"/>
      </rPr>
      <t>2-</t>
    </r>
    <r>
      <rPr>
        <b/>
        <sz val="8"/>
        <rFont val="Arial"/>
        <family val="2"/>
      </rPr>
      <t>)</t>
    </r>
  </si>
  <si>
    <r>
      <t>t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salida</t>
    </r>
  </si>
  <si>
    <r>
      <t xml:space="preserve"> EMISIONES TOTALES DE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SALIDA:</t>
    </r>
  </si>
  <si>
    <t>EMISIONES TOTALES DE PROCESO MATERIA PRIMA 1</t>
  </si>
  <si>
    <t>MATERIA PRIMA 2         (entrada)</t>
  </si>
  <si>
    <t>EMISIONES TOTALES DE PROCESO MATERIA PRIMA 2</t>
  </si>
  <si>
    <r>
      <t xml:space="preserve"> EMISIONES TOTALES DE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ENTRADA:</t>
    </r>
  </si>
  <si>
    <t>MATERIA PRIMA 1          (entrada)</t>
  </si>
  <si>
    <t>CARBONO ORGÁNICO</t>
  </si>
  <si>
    <r>
      <t>t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entrada</t>
    </r>
  </si>
  <si>
    <r>
      <t>Factor de emisión (tCO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/tCO</t>
    </r>
    <r>
      <rPr>
        <b/>
        <vertAlign val="subscript"/>
        <sz val="8"/>
        <rFont val="Arial"/>
        <family val="2"/>
      </rPr>
      <t>3</t>
    </r>
    <r>
      <rPr>
        <b/>
        <vertAlign val="superscript"/>
        <sz val="8"/>
        <rFont val="Arial"/>
        <family val="2"/>
      </rPr>
      <t>2-</t>
    </r>
    <r>
      <rPr>
        <b/>
        <sz val="8"/>
        <rFont val="Arial"/>
        <family val="2"/>
      </rPr>
      <t>)</t>
    </r>
  </si>
  <si>
    <r>
      <t xml:space="preserve"> EMISIONES TOTALES DE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DEBIDAS AL CARBONO INORGÁNICO (CARBONATOS) </t>
    </r>
  </si>
  <si>
    <r>
      <t xml:space="preserve"> EMISIONES TOTALES DE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DEBIDAS AL CARBONO ORGÁNICO</t>
    </r>
  </si>
  <si>
    <t>EMISIONES TOTALES DE PROCESO MATERIA 1</t>
  </si>
  <si>
    <t>MATERIA PRIMA 2          (entrada)</t>
  </si>
  <si>
    <t>EMISIONES TOTALES DE PROCESO MATERIA 2</t>
  </si>
  <si>
    <r>
      <t>Factor de emisión                         (tCO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/t material de entrada)</t>
    </r>
  </si>
  <si>
    <r>
      <t>tCO</t>
    </r>
    <r>
      <rPr>
        <vertAlign val="subscript"/>
        <sz val="8"/>
        <rFont val="Arial"/>
        <family val="2"/>
      </rPr>
      <t>3</t>
    </r>
    <r>
      <rPr>
        <vertAlign val="superscript"/>
        <sz val="8"/>
        <rFont val="Arial"/>
        <family val="2"/>
      </rPr>
      <t>2-</t>
    </r>
  </si>
  <si>
    <r>
      <t>tCO</t>
    </r>
    <r>
      <rPr>
        <vertAlign val="subscript"/>
        <sz val="8"/>
        <rFont val="Arial"/>
        <family val="2"/>
      </rPr>
      <t>3</t>
    </r>
    <r>
      <rPr>
        <vertAlign val="superscript"/>
        <sz val="8"/>
        <rFont val="Arial"/>
        <family val="2"/>
      </rPr>
      <t>2-</t>
    </r>
    <r>
      <rPr>
        <sz val="8"/>
        <rFont val="Arial"/>
        <family val="2"/>
      </rPr>
      <t xml:space="preserve"> totales</t>
    </r>
  </si>
  <si>
    <r>
      <t>Valor                           ( tCO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/ tCO</t>
    </r>
    <r>
      <rPr>
        <vertAlign val="subscript"/>
        <sz val="8"/>
        <rFont val="Arial"/>
        <family val="2"/>
      </rPr>
      <t>3</t>
    </r>
    <r>
      <rPr>
        <vertAlign val="superscript"/>
        <sz val="8"/>
        <rFont val="Arial"/>
        <family val="2"/>
      </rPr>
      <t>2-</t>
    </r>
    <r>
      <rPr>
        <sz val="8"/>
        <rFont val="Arial"/>
        <family val="2"/>
      </rPr>
      <t>)</t>
    </r>
  </si>
  <si>
    <r>
      <t>Factor de emisión  ( t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/t)</t>
    </r>
  </si>
  <si>
    <t>Diferenciado</t>
  </si>
  <si>
    <t>MATERIA PRIMA 1         (salida)</t>
  </si>
  <si>
    <t>MATERIA PRIMA 2         (salida)</t>
  </si>
  <si>
    <t>De las dos tablas siguientes sólo se debería rellenar la tabla correspondiente según si a la salida de proceso se ha analizado Carbonatos o Carbono total</t>
  </si>
  <si>
    <t>En caso de que no se realicen análisis a la salida sólo se rellenará la tabla que viene a continuación</t>
  </si>
  <si>
    <t xml:space="preserve">Toneladas              Materia prima </t>
  </si>
  <si>
    <t>ATOMIZADORES</t>
  </si>
  <si>
    <t>TURBINAS DE COGENERACIÓN</t>
  </si>
  <si>
    <t>OTRAS TURBINAS</t>
  </si>
  <si>
    <t>MOTORES DE COGENERACIÓN</t>
  </si>
  <si>
    <t>OTROS MOTORES</t>
  </si>
  <si>
    <t>ESTUFAS</t>
  </si>
  <si>
    <t>CALDERAS</t>
  </si>
  <si>
    <t>UNIDADES DE CRACKING</t>
  </si>
  <si>
    <t>INCINERADORES</t>
  </si>
  <si>
    <t>ANTORCHAS</t>
  </si>
  <si>
    <t>LAVADORES DE GASES</t>
  </si>
  <si>
    <t>OTROS DISPOSITIVOS</t>
  </si>
  <si>
    <t>Dispositivo</t>
  </si>
  <si>
    <t>TABLA TIPO DISPOSITIVOS - TDISPOSITIVO</t>
  </si>
  <si>
    <t>SECADERO</t>
  </si>
  <si>
    <t xml:space="preserve"> -- Seleccione dispositivo --</t>
  </si>
  <si>
    <t>MATERIA PRIMA 1  (entrada)</t>
  </si>
  <si>
    <t>MATERIA PRIMA 1   (salida)</t>
  </si>
  <si>
    <t>En caso de que no se realice análisis a la salida sólo se rellenarán las tablas de entrada</t>
  </si>
  <si>
    <t>MATERIA PRIMA 2   (salida)</t>
  </si>
  <si>
    <t>MATERIA PRIMA 2   (entrada)</t>
  </si>
  <si>
    <r>
      <t>t CO</t>
    </r>
    <r>
      <rPr>
        <vertAlign val="subscript"/>
        <sz val="8"/>
        <rFont val="Arial"/>
        <family val="2"/>
      </rPr>
      <t xml:space="preserve">2 </t>
    </r>
    <r>
      <rPr>
        <sz val="8"/>
        <rFont val="Arial"/>
        <family val="2"/>
      </rPr>
      <t>/ t crudo</t>
    </r>
  </si>
  <si>
    <r>
      <t>t CO</t>
    </r>
    <r>
      <rPr>
        <vertAlign val="subscript"/>
        <sz val="8"/>
        <rFont val="Arial"/>
        <family val="2"/>
      </rPr>
      <t xml:space="preserve">2 </t>
    </r>
    <r>
      <rPr>
        <sz val="8"/>
        <rFont val="Arial"/>
        <family val="2"/>
      </rPr>
      <t>/ t clínker</t>
    </r>
  </si>
  <si>
    <r>
      <t>t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/ t clínker</t>
    </r>
  </si>
  <si>
    <r>
      <t>t 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/ t crudo</t>
    </r>
  </si>
  <si>
    <t>Factor emisión</t>
  </si>
  <si>
    <t>Toneladas</t>
  </si>
  <si>
    <t>Denominación material de entrada 1</t>
  </si>
  <si>
    <t>Denominación material   de entrada 2</t>
  </si>
  <si>
    <t>%C en arcilla</t>
  </si>
  <si>
    <t>% C en arcilla</t>
  </si>
  <si>
    <t>%C en Arcilla</t>
  </si>
  <si>
    <t>t totales de arcilla</t>
  </si>
  <si>
    <r>
      <t>(tCO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/tCO</t>
    </r>
    <r>
      <rPr>
        <b/>
        <vertAlign val="subscript"/>
        <sz val="8"/>
        <rFont val="Arial"/>
        <family val="2"/>
      </rPr>
      <t>3</t>
    </r>
    <r>
      <rPr>
        <b/>
        <vertAlign val="superscript"/>
        <sz val="8"/>
        <rFont val="Arial"/>
        <family val="2"/>
      </rPr>
      <t>2-</t>
    </r>
    <r>
      <rPr>
        <b/>
        <sz val="8"/>
        <rFont val="Arial"/>
        <family val="2"/>
      </rPr>
      <t>)</t>
    </r>
  </si>
  <si>
    <t>MODO DIFERENCIADO - CARBONO INORGÁNICO, EXPRESADO COMO CARBONATOS</t>
  </si>
  <si>
    <r>
      <t>(tCO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>/tCO</t>
    </r>
    <r>
      <rPr>
        <b/>
        <vertAlign val="subscript"/>
        <sz val="8"/>
        <rFont val="Arial"/>
        <family val="2"/>
      </rPr>
      <t>3</t>
    </r>
    <r>
      <rPr>
        <b/>
        <vertAlign val="superscript"/>
        <sz val="8"/>
        <rFont val="Arial"/>
        <family val="2"/>
      </rPr>
      <t>2-</t>
    </r>
    <r>
      <rPr>
        <b/>
        <sz val="8"/>
        <rFont val="Arial"/>
        <family val="2"/>
      </rPr>
      <t xml:space="preserve">) </t>
    </r>
  </si>
  <si>
    <t>HORNO</t>
  </si>
  <si>
    <t>GRUPOS ELECTRÓGENOS</t>
  </si>
  <si>
    <t>ARCAS DE RECOCIDO</t>
  </si>
  <si>
    <t>QUEMADORES POST - COMBUSTIÓN</t>
  </si>
  <si>
    <t>EMISIONES DE CARBONO NO CARBONATADO DE LA MEZCLA BRUTA CEMENTO BLANCO</t>
  </si>
  <si>
    <t>EMISIONES DE CARBONO NO CARBONATADO DE LA MEZCLA BRUTA CEMENTO GRIS</t>
  </si>
  <si>
    <t>% C no carbonatado de crudo</t>
  </si>
  <si>
    <t>Rellenar en caso de que el cálculo de las "emisiones relacionadas con la producción de clínker" se realice a través de los óxidos de Ca y Mg a la salida</t>
  </si>
  <si>
    <t>PROCESO - CAL</t>
  </si>
  <si>
    <t xml:space="preserve">    Año</t>
  </si>
  <si>
    <t>* Pestaña Fómulas ir al icono de Administrador de nombres</t>
  </si>
  <si>
    <t>DURANTE EL AÑO</t>
  </si>
  <si>
    <t xml:space="preserve">Aceites usados (G/L) - Cal </t>
  </si>
  <si>
    <t>Aceites usados (G/L) - Cemento</t>
  </si>
  <si>
    <t>Serrín Impregnado (S)</t>
  </si>
  <si>
    <t>COMBUSTIBLE 6</t>
  </si>
  <si>
    <t>COMBUSTIBLE 7</t>
  </si>
  <si>
    <t>COMBUSTIBLE 8</t>
  </si>
  <si>
    <t>Autorización</t>
  </si>
  <si>
    <t>Exclusión</t>
  </si>
  <si>
    <t>Gaseoso - Gas natural</t>
  </si>
  <si>
    <t>Líquido - Fuelóleo ligero</t>
  </si>
  <si>
    <t>Líquido - Gasóleo</t>
  </si>
  <si>
    <t>Líquido - Gases licuados del petróleo</t>
  </si>
  <si>
    <t>Gaseoso - Propano</t>
  </si>
  <si>
    <t>Gaseoso - Butano</t>
  </si>
  <si>
    <t>Sólido - Coque</t>
  </si>
  <si>
    <t>Sólido - Neumáticos usados</t>
  </si>
  <si>
    <t>Líquido - Aceites Usados</t>
  </si>
  <si>
    <t>Líquido - Disolventes orgánicos</t>
  </si>
  <si>
    <t>Sólido - Antracita</t>
  </si>
  <si>
    <t>Sólido - Otras biomasas sólidas</t>
  </si>
  <si>
    <t>Gaseoso - Otras biomasas gaseosas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</si>
</sst>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  <numFmt numFmtId="166" formatCode="0;\-0;;@"/>
    <numFmt numFmtId="167" formatCode="0.000;\-0.000;;@"/>
    <numFmt numFmtId="168" formatCode="0.###;\-0.###;;@"/>
    <numFmt numFmtId="169" formatCode="00000"/>
    <numFmt numFmtId="170" formatCode="#,##0.000"/>
    <numFmt numFmtId="171" formatCode="0.0000"/>
    <numFmt numFmtId="172" formatCode="0.00000"/>
  </numFmts>
  <fonts count="101">
    <font>
      <sz val="10"/>
      <name val="Arial"/>
      <family val="0"/>
    </font>
    <font>
      <sz val="10"/>
      <name val="Futura Md BT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color indexed="10"/>
      <name val="Arial"/>
      <family val="2"/>
    </font>
    <font>
      <b/>
      <sz val="8"/>
      <color indexed="10"/>
      <name val="Arial"/>
      <family val="2"/>
    </font>
    <font>
      <vertAlign val="subscript"/>
      <sz val="8"/>
      <name val="Arial"/>
      <family val="2"/>
    </font>
    <font>
      <sz val="5"/>
      <name val="Arial"/>
      <family val="2"/>
    </font>
    <font>
      <sz val="8"/>
      <color indexed="14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b/>
      <sz val="8"/>
      <color indexed="1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vertAlign val="subscript"/>
      <sz val="8"/>
      <name val="Arial"/>
      <family val="2"/>
    </font>
    <font>
      <b/>
      <sz val="10"/>
      <color indexed="48"/>
      <name val="Arial"/>
      <family val="2"/>
    </font>
    <font>
      <b/>
      <sz val="7"/>
      <name val="Arial"/>
      <family val="2"/>
    </font>
    <font>
      <sz val="16"/>
      <color indexed="9"/>
      <name val="Arial Black"/>
      <family val="2"/>
    </font>
    <font>
      <sz val="11"/>
      <name val="Arial Black"/>
      <family val="2"/>
    </font>
    <font>
      <sz val="11"/>
      <color indexed="53"/>
      <name val="Arial Black"/>
      <family val="2"/>
    </font>
    <font>
      <sz val="9"/>
      <name val="Arial Black"/>
      <family val="2"/>
    </font>
    <font>
      <sz val="9"/>
      <color indexed="47"/>
      <name val="Arial Black"/>
      <family val="2"/>
    </font>
    <font>
      <sz val="10"/>
      <color indexed="47"/>
      <name val="Arial"/>
      <family val="2"/>
    </font>
    <font>
      <b/>
      <sz val="9"/>
      <color indexed="47"/>
      <name val="Arial"/>
      <family val="2"/>
    </font>
    <font>
      <sz val="10"/>
      <color indexed="10"/>
      <name val="Arial"/>
      <family val="2"/>
    </font>
    <font>
      <sz val="10"/>
      <color indexed="55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vertAlign val="subscript"/>
      <sz val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vertAlign val="subscript"/>
      <sz val="14"/>
      <name val="Arial"/>
      <family val="2"/>
    </font>
    <font>
      <sz val="8"/>
      <color indexed="47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7"/>
      <name val="Arial"/>
      <family val="2"/>
    </font>
    <font>
      <sz val="8"/>
      <color indexed="49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0"/>
      <name val="Arial Black"/>
      <family val="2"/>
    </font>
    <font>
      <sz val="11"/>
      <color indexed="60"/>
      <name val="Arial Black"/>
      <family val="2"/>
    </font>
    <font>
      <b/>
      <sz val="9"/>
      <color indexed="16"/>
      <name val="Arial"/>
      <family val="2"/>
    </font>
    <font>
      <b/>
      <vertAlign val="superscript"/>
      <sz val="8"/>
      <name val="Arial"/>
      <family val="2"/>
    </font>
    <font>
      <i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name val="Arial Black"/>
      <family val="2"/>
    </font>
    <font>
      <sz val="8"/>
      <color indexed="8"/>
      <name val="Arial Black"/>
      <family val="2"/>
    </font>
    <font>
      <b/>
      <i/>
      <sz val="9"/>
      <color indexed="12"/>
      <name val="Arial"/>
      <family val="2"/>
    </font>
    <font>
      <b/>
      <i/>
      <sz val="9"/>
      <color indexed="58"/>
      <name val="Arial"/>
      <family val="2"/>
    </font>
    <font>
      <b/>
      <i/>
      <sz val="9"/>
      <color indexed="10"/>
      <name val="Arial"/>
      <family val="2"/>
    </font>
    <font>
      <b/>
      <i/>
      <sz val="10"/>
      <color indexed="58"/>
      <name val="Arial"/>
      <family val="2"/>
    </font>
    <font>
      <b/>
      <sz val="9"/>
      <color indexed="8"/>
      <name val="Arial"/>
      <family val="2"/>
    </font>
    <font>
      <i/>
      <sz val="10"/>
      <name val="Arial"/>
      <family val="2"/>
    </font>
    <font>
      <b/>
      <sz val="11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0070C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>
        <color theme="9" tint="-0.24997000396251678"/>
      </top>
      <bottom style="medium"/>
    </border>
    <border>
      <left style="thin">
        <color theme="9" tint="-0.2499700039625167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9" tint="-0.24997000396251678"/>
      </top>
      <bottom>
        <color indexed="63"/>
      </bottom>
    </border>
    <border>
      <left>
        <color indexed="63"/>
      </left>
      <right style="thin">
        <color theme="9" tint="-0.24997000396251678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0" applyNumberFormat="0" applyBorder="0" applyAlignment="0" applyProtection="0"/>
    <xf numFmtId="0" fontId="86" fillId="21" borderId="1" applyNumberFormat="0" applyAlignment="0" applyProtection="0"/>
    <xf numFmtId="0" fontId="87" fillId="22" borderId="2" applyNumberFormat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0" applyNumberFormat="0" applyFill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91" fillId="29" borderId="1" applyNumberFormat="0" applyAlignment="0" applyProtection="0"/>
    <xf numFmtId="0" fontId="9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4" fillId="21" borderId="6" applyNumberFormat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7" applyNumberFormat="0" applyFill="0" applyAlignment="0" applyProtection="0"/>
    <xf numFmtId="0" fontId="90" fillId="0" borderId="8" applyNumberFormat="0" applyFill="0" applyAlignment="0" applyProtection="0"/>
    <xf numFmtId="0" fontId="99" fillId="0" borderId="9" applyNumberFormat="0" applyFill="0" applyAlignment="0" applyProtection="0"/>
  </cellStyleXfs>
  <cellXfs count="570">
    <xf numFmtId="0" fontId="0" fillId="0" borderId="0" xfId="0" applyAlignment="1">
      <alignment/>
    </xf>
    <xf numFmtId="0" fontId="0" fillId="0" borderId="0" xfId="53" applyFont="1" applyBorder="1" applyProtection="1">
      <alignment/>
      <protection/>
    </xf>
    <xf numFmtId="0" fontId="0" fillId="0" borderId="0" xfId="52" applyFont="1" applyFill="1" applyBorder="1" applyAlignment="1" applyProtection="1">
      <alignment horizontal="center"/>
      <protection/>
    </xf>
    <xf numFmtId="0" fontId="0" fillId="0" borderId="0" xfId="53" applyFont="1" applyFill="1" applyBorder="1" applyProtection="1">
      <alignment/>
      <protection/>
    </xf>
    <xf numFmtId="0" fontId="2" fillId="33" borderId="0" xfId="0" applyFont="1" applyFill="1" applyBorder="1" applyAlignment="1" applyProtection="1">
      <alignment horizontal="center" vertical="center" wrapText="1"/>
      <protection/>
    </xf>
    <xf numFmtId="0" fontId="2" fillId="33" borderId="0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Border="1" applyAlignment="1" applyProtection="1">
      <alignment horizontal="center"/>
      <protection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35" borderId="0" xfId="0" applyFill="1" applyAlignment="1">
      <alignment/>
    </xf>
    <xf numFmtId="0" fontId="4" fillId="35" borderId="0" xfId="0" applyFont="1" applyFill="1" applyAlignment="1">
      <alignment/>
    </xf>
    <xf numFmtId="0" fontId="0" fillId="36" borderId="0" xfId="0" applyFill="1" applyAlignment="1">
      <alignment/>
    </xf>
    <xf numFmtId="2" fontId="5" fillId="35" borderId="0" xfId="0" applyNumberFormat="1" applyFont="1" applyFill="1" applyAlignment="1">
      <alignment/>
    </xf>
    <xf numFmtId="2" fontId="7" fillId="35" borderId="0" xfId="0" applyNumberFormat="1" applyFont="1" applyFill="1" applyAlignment="1">
      <alignment/>
    </xf>
    <xf numFmtId="0" fontId="4" fillId="35" borderId="0" xfId="0" applyFont="1" applyFill="1" applyBorder="1" applyAlignment="1">
      <alignment/>
    </xf>
    <xf numFmtId="0" fontId="4" fillId="35" borderId="0" xfId="0" applyFont="1" applyFill="1" applyAlignment="1">
      <alignment horizontal="left" vertical="top" wrapText="1"/>
    </xf>
    <xf numFmtId="0" fontId="4" fillId="36" borderId="10" xfId="0" applyFont="1" applyFill="1" applyBorder="1" applyAlignment="1">
      <alignment horizontal="center"/>
    </xf>
    <xf numFmtId="0" fontId="4" fillId="35" borderId="0" xfId="0" applyFont="1" applyFill="1" applyAlignment="1">
      <alignment horizontal="center" shrinkToFit="1"/>
    </xf>
    <xf numFmtId="0" fontId="4" fillId="35" borderId="0" xfId="0" applyFont="1" applyFill="1" applyAlignment="1">
      <alignment shrinkToFit="1"/>
    </xf>
    <xf numFmtId="0" fontId="4" fillId="35" borderId="0" xfId="0" applyFont="1" applyFill="1" applyBorder="1" applyAlignment="1">
      <alignment horizontal="center"/>
    </xf>
    <xf numFmtId="0" fontId="10" fillId="35" borderId="0" xfId="0" applyFont="1" applyFill="1" applyAlignment="1">
      <alignment/>
    </xf>
    <xf numFmtId="0" fontId="12" fillId="35" borderId="11" xfId="0" applyFont="1" applyFill="1" applyBorder="1" applyAlignment="1">
      <alignment/>
    </xf>
    <xf numFmtId="164" fontId="12" fillId="35" borderId="12" xfId="0" applyNumberFormat="1" applyFont="1" applyFill="1" applyBorder="1" applyAlignment="1">
      <alignment/>
    </xf>
    <xf numFmtId="0" fontId="12" fillId="35" borderId="12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1" fontId="0" fillId="0" borderId="0" xfId="53" applyNumberFormat="1" applyFont="1" applyBorder="1" applyAlignment="1" applyProtection="1">
      <alignment horizontal="center"/>
      <protection/>
    </xf>
    <xf numFmtId="0" fontId="2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4" fillId="36" borderId="13" xfId="0" applyFont="1" applyFill="1" applyBorder="1" applyAlignment="1" applyProtection="1">
      <alignment horizontal="center"/>
      <protection locked="0"/>
    </xf>
    <xf numFmtId="0" fontId="4" fillId="36" borderId="12" xfId="0" applyFont="1" applyFill="1" applyBorder="1" applyAlignment="1" applyProtection="1">
      <alignment horizontal="center"/>
      <protection locked="0"/>
    </xf>
    <xf numFmtId="0" fontId="0" fillId="0" borderId="0" xfId="53" applyFont="1" applyBorder="1" applyProtection="1" quotePrefix="1">
      <alignment/>
      <protection/>
    </xf>
    <xf numFmtId="0" fontId="3" fillId="35" borderId="0" xfId="0" applyFont="1" applyFill="1" applyAlignment="1">
      <alignment/>
    </xf>
    <xf numFmtId="0" fontId="0" fillId="0" borderId="0" xfId="0" applyAlignment="1" quotePrefix="1">
      <alignment/>
    </xf>
    <xf numFmtId="0" fontId="4" fillId="35" borderId="13" xfId="0" applyFont="1" applyFill="1" applyBorder="1" applyAlignment="1">
      <alignment wrapText="1"/>
    </xf>
    <xf numFmtId="0" fontId="4" fillId="35" borderId="12" xfId="0" applyFont="1" applyFill="1" applyBorder="1" applyAlignment="1">
      <alignment vertical="top" wrapText="1"/>
    </xf>
    <xf numFmtId="0" fontId="15" fillId="35" borderId="10" xfId="0" applyFont="1" applyFill="1" applyBorder="1" applyAlignment="1">
      <alignment horizontal="center" vertical="top"/>
    </xf>
    <xf numFmtId="0" fontId="15" fillId="35" borderId="14" xfId="0" applyFont="1" applyFill="1" applyBorder="1" applyAlignment="1">
      <alignment horizontal="center" vertical="top"/>
    </xf>
    <xf numFmtId="0" fontId="0" fillId="35" borderId="0" xfId="0" applyFill="1" applyBorder="1" applyAlignment="1">
      <alignment/>
    </xf>
    <xf numFmtId="0" fontId="21" fillId="35" borderId="0" xfId="0" applyFont="1" applyFill="1" applyAlignment="1">
      <alignment/>
    </xf>
    <xf numFmtId="0" fontId="4" fillId="35" borderId="12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14" fillId="35" borderId="0" xfId="0" applyFont="1" applyFill="1" applyAlignment="1">
      <alignment/>
    </xf>
    <xf numFmtId="0" fontId="3" fillId="35" borderId="13" xfId="0" applyFont="1" applyFill="1" applyBorder="1" applyAlignment="1">
      <alignment/>
    </xf>
    <xf numFmtId="0" fontId="0" fillId="37" borderId="0" xfId="0" applyFill="1" applyAlignment="1" applyProtection="1">
      <alignment/>
      <protection/>
    </xf>
    <xf numFmtId="0" fontId="0" fillId="37" borderId="0" xfId="0" applyFill="1" applyBorder="1" applyAlignment="1" applyProtection="1">
      <alignment/>
      <protection/>
    </xf>
    <xf numFmtId="0" fontId="30" fillId="37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30" fillId="35" borderId="0" xfId="0" applyFont="1" applyFill="1" applyAlignment="1" applyProtection="1">
      <alignment/>
      <protection/>
    </xf>
    <xf numFmtId="0" fontId="24" fillId="35" borderId="0" xfId="0" applyFont="1" applyFill="1" applyBorder="1" applyAlignment="1" applyProtection="1">
      <alignment vertical="center"/>
      <protection/>
    </xf>
    <xf numFmtId="0" fontId="26" fillId="35" borderId="0" xfId="0" applyFont="1" applyFill="1" applyBorder="1" applyAlignment="1" applyProtection="1">
      <alignment/>
      <protection/>
    </xf>
    <xf numFmtId="0" fontId="27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28" fillId="35" borderId="0" xfId="0" applyFont="1" applyFill="1" applyBorder="1" applyAlignment="1" applyProtection="1">
      <alignment/>
      <protection/>
    </xf>
    <xf numFmtId="0" fontId="29" fillId="35" borderId="0" xfId="0" applyFont="1" applyFill="1" applyBorder="1" applyAlignment="1" applyProtection="1">
      <alignment/>
      <protection/>
    </xf>
    <xf numFmtId="0" fontId="14" fillId="38" borderId="0" xfId="0" applyFont="1" applyFill="1" applyAlignment="1">
      <alignment/>
    </xf>
    <xf numFmtId="0" fontId="4" fillId="38" borderId="0" xfId="0" applyFont="1" applyFill="1" applyAlignment="1">
      <alignment/>
    </xf>
    <xf numFmtId="0" fontId="0" fillId="38" borderId="0" xfId="0" applyFill="1" applyAlignment="1">
      <alignment/>
    </xf>
    <xf numFmtId="0" fontId="31" fillId="37" borderId="0" xfId="0" applyFont="1" applyFill="1" applyAlignment="1" applyProtection="1">
      <alignment/>
      <protection hidden="1" locked="0"/>
    </xf>
    <xf numFmtId="0" fontId="28" fillId="35" borderId="0" xfId="0" applyFont="1" applyFill="1" applyAlignment="1" applyProtection="1">
      <alignment/>
      <protection hidden="1" locked="0"/>
    </xf>
    <xf numFmtId="0" fontId="4" fillId="39" borderId="13" xfId="0" applyNumberFormat="1" applyFont="1" applyFill="1" applyBorder="1" applyAlignment="1" applyProtection="1">
      <alignment horizontal="center"/>
      <protection hidden="1"/>
    </xf>
    <xf numFmtId="0" fontId="4" fillId="39" borderId="16" xfId="0" applyNumberFormat="1" applyFont="1" applyFill="1" applyBorder="1" applyAlignment="1" applyProtection="1">
      <alignment horizontal="center"/>
      <protection hidden="1"/>
    </xf>
    <xf numFmtId="0" fontId="0" fillId="35" borderId="0" xfId="0" applyNumberFormat="1" applyFill="1" applyBorder="1" applyAlignment="1">
      <alignment/>
    </xf>
    <xf numFmtId="0" fontId="0" fillId="0" borderId="0" xfId="0" applyFill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24" fillId="35" borderId="0" xfId="0" applyFont="1" applyFill="1" applyAlignment="1" applyProtection="1">
      <alignment horizontal="right" vertical="center"/>
      <protection/>
    </xf>
    <xf numFmtId="0" fontId="28" fillId="35" borderId="0" xfId="0" applyFont="1" applyFill="1" applyAlignment="1">
      <alignment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/>
      <protection hidden="1"/>
    </xf>
    <xf numFmtId="0" fontId="19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justify"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36" fillId="0" borderId="0" xfId="0" applyFont="1" applyAlignment="1">
      <alignment/>
    </xf>
    <xf numFmtId="0" fontId="36" fillId="0" borderId="0" xfId="0" applyFont="1" applyFill="1" applyBorder="1" applyAlignment="1" applyProtection="1">
      <alignment/>
      <protection hidden="1"/>
    </xf>
    <xf numFmtId="0" fontId="36" fillId="0" borderId="0" xfId="0" applyFont="1" applyFill="1" applyAlignment="1" applyProtection="1">
      <alignment/>
      <protection hidden="1"/>
    </xf>
    <xf numFmtId="0" fontId="36" fillId="0" borderId="0" xfId="0" applyFont="1" applyFill="1" applyAlignment="1" applyProtection="1">
      <alignment/>
      <protection hidden="1"/>
    </xf>
    <xf numFmtId="0" fontId="36" fillId="0" borderId="0" xfId="0" applyFont="1" applyAlignment="1" applyProtection="1">
      <alignment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17" xfId="0" applyFont="1" applyFill="1" applyBorder="1" applyAlignment="1" applyProtection="1">
      <alignment horizontal="justify" vertical="center"/>
      <protection hidden="1"/>
    </xf>
    <xf numFmtId="0" fontId="3" fillId="0" borderId="18" xfId="0" applyFont="1" applyFill="1" applyBorder="1" applyAlignment="1" applyProtection="1">
      <alignment horizontal="justify" vertical="center"/>
      <protection hidden="1"/>
    </xf>
    <xf numFmtId="0" fontId="3" fillId="0" borderId="0" xfId="0" applyFont="1" applyFill="1" applyBorder="1" applyAlignment="1" applyProtection="1">
      <alignment horizontal="justify" vertical="center"/>
      <protection hidden="1"/>
    </xf>
    <xf numFmtId="0" fontId="3" fillId="0" borderId="19" xfId="0" applyFont="1" applyFill="1" applyBorder="1" applyAlignment="1" applyProtection="1">
      <alignment horizontal="justify" vertical="center"/>
      <protection hidden="1"/>
    </xf>
    <xf numFmtId="0" fontId="3" fillId="0" borderId="20" xfId="0" applyFont="1" applyFill="1" applyBorder="1" applyAlignment="1" applyProtection="1">
      <alignment horizontal="justify" vertical="center"/>
      <protection hidden="1"/>
    </xf>
    <xf numFmtId="0" fontId="37" fillId="0" borderId="21" xfId="0" applyFont="1" applyFill="1" applyBorder="1" applyAlignment="1" applyProtection="1">
      <alignment horizontal="center" vertical="center"/>
      <protection hidden="1"/>
    </xf>
    <xf numFmtId="0" fontId="37" fillId="0" borderId="17" xfId="0" applyFont="1" applyFill="1" applyBorder="1" applyAlignment="1" applyProtection="1">
      <alignment horizontal="center" vertical="center"/>
      <protection hidden="1"/>
    </xf>
    <xf numFmtId="0" fontId="37" fillId="0" borderId="22" xfId="0" applyFont="1" applyFill="1" applyBorder="1" applyAlignment="1" applyProtection="1">
      <alignment horizontal="center" vertical="center"/>
      <protection hidden="1"/>
    </xf>
    <xf numFmtId="0" fontId="4" fillId="36" borderId="12" xfId="0" applyFont="1" applyFill="1" applyBorder="1" applyAlignment="1" applyProtection="1">
      <alignment/>
      <protection locked="0"/>
    </xf>
    <xf numFmtId="0" fontId="4" fillId="40" borderId="12" xfId="0" applyFont="1" applyFill="1" applyBorder="1" applyAlignment="1" applyProtection="1">
      <alignment/>
      <protection hidden="1"/>
    </xf>
    <xf numFmtId="0" fontId="28" fillId="35" borderId="0" xfId="0" applyNumberFormat="1" applyFont="1" applyFill="1" applyAlignment="1" applyProtection="1">
      <alignment/>
      <protection hidden="1"/>
    </xf>
    <xf numFmtId="0" fontId="39" fillId="35" borderId="0" xfId="0" applyFont="1" applyFill="1" applyAlignment="1">
      <alignment/>
    </xf>
    <xf numFmtId="0" fontId="39" fillId="35" borderId="0" xfId="0" applyFont="1" applyFill="1" applyAlignment="1" applyProtection="1">
      <alignment/>
      <protection hidden="1"/>
    </xf>
    <xf numFmtId="0" fontId="28" fillId="35" borderId="0" xfId="0" applyFont="1" applyFill="1" applyAlignment="1" applyProtection="1">
      <alignment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4" fillId="38" borderId="0" xfId="0" applyFont="1" applyFill="1" applyAlignment="1" applyProtection="1">
      <alignment horizontal="justify" vertical="center"/>
      <protection hidden="1"/>
    </xf>
    <xf numFmtId="0" fontId="0" fillId="36" borderId="0" xfId="0" applyFill="1" applyAlignment="1">
      <alignment/>
    </xf>
    <xf numFmtId="0" fontId="15" fillId="35" borderId="0" xfId="0" applyFont="1" applyFill="1" applyAlignment="1">
      <alignment/>
    </xf>
    <xf numFmtId="2" fontId="7" fillId="35" borderId="0" xfId="0" applyNumberFormat="1" applyFont="1" applyFill="1" applyAlignment="1">
      <alignment/>
    </xf>
    <xf numFmtId="0" fontId="39" fillId="35" borderId="0" xfId="0" applyFont="1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15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4" fillId="36" borderId="19" xfId="0" applyFont="1" applyFill="1" applyBorder="1" applyAlignment="1" applyProtection="1">
      <alignment horizontal="center"/>
      <protection locked="0"/>
    </xf>
    <xf numFmtId="0" fontId="4" fillId="39" borderId="19" xfId="0" applyNumberFormat="1" applyFont="1" applyFill="1" applyBorder="1" applyAlignment="1" applyProtection="1">
      <alignment horizontal="center"/>
      <protection hidden="1"/>
    </xf>
    <xf numFmtId="0" fontId="4" fillId="35" borderId="13" xfId="0" applyFont="1" applyFill="1" applyBorder="1" applyAlignment="1">
      <alignment vertical="top" wrapText="1"/>
    </xf>
    <xf numFmtId="0" fontId="0" fillId="37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" fillId="39" borderId="11" xfId="0" applyNumberFormat="1" applyFont="1" applyFill="1" applyBorder="1" applyAlignment="1" applyProtection="1">
      <alignment horizontal="center"/>
      <protection hidden="1"/>
    </xf>
    <xf numFmtId="0" fontId="4" fillId="36" borderId="11" xfId="0" applyFont="1" applyFill="1" applyBorder="1" applyAlignment="1" applyProtection="1">
      <alignment horizontal="center"/>
      <protection locked="0"/>
    </xf>
    <xf numFmtId="0" fontId="4" fillId="39" borderId="20" xfId="0" applyNumberFormat="1" applyFont="1" applyFill="1" applyBorder="1" applyAlignment="1" applyProtection="1">
      <alignment horizontal="center"/>
      <protection hidden="1"/>
    </xf>
    <xf numFmtId="0" fontId="0" fillId="35" borderId="11" xfId="0" applyFill="1" applyBorder="1" applyAlignment="1">
      <alignment vertical="top" wrapText="1"/>
    </xf>
    <xf numFmtId="0" fontId="28" fillId="35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35" borderId="0" xfId="0" applyFont="1" applyFill="1" applyBorder="1" applyAlignment="1" applyProtection="1">
      <alignment/>
      <protection hidden="1" locked="0"/>
    </xf>
    <xf numFmtId="170" fontId="15" fillId="41" borderId="11" xfId="0" applyNumberFormat="1" applyFont="1" applyFill="1" applyBorder="1" applyAlignment="1" applyProtection="1">
      <alignment/>
      <protection hidden="1"/>
    </xf>
    <xf numFmtId="170" fontId="3" fillId="0" borderId="20" xfId="0" applyNumberFormat="1" applyFont="1" applyBorder="1" applyAlignment="1">
      <alignment horizontal="right" vertical="center"/>
    </xf>
    <xf numFmtId="170" fontId="3" fillId="0" borderId="23" xfId="0" applyNumberFormat="1" applyFont="1" applyBorder="1" applyAlignment="1">
      <alignment horizontal="right" vertical="center"/>
    </xf>
    <xf numFmtId="170" fontId="3" fillId="0" borderId="24" xfId="0" applyNumberFormat="1" applyFont="1" applyBorder="1" applyAlignment="1">
      <alignment horizontal="right" vertical="center"/>
    </xf>
    <xf numFmtId="0" fontId="30" fillId="35" borderId="0" xfId="0" applyFont="1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31" fillId="37" borderId="0" xfId="0" applyFont="1" applyFill="1" applyAlignment="1" applyProtection="1">
      <alignment/>
      <protection hidden="1"/>
    </xf>
    <xf numFmtId="0" fontId="28" fillId="35" borderId="0" xfId="0" applyFont="1" applyFill="1" applyBorder="1" applyAlignment="1">
      <alignment/>
    </xf>
    <xf numFmtId="0" fontId="28" fillId="35" borderId="0" xfId="0" applyFont="1" applyFill="1" applyBorder="1" applyAlignment="1" applyProtection="1">
      <alignment/>
      <protection hidden="1" locked="0"/>
    </xf>
    <xf numFmtId="0" fontId="28" fillId="35" borderId="0" xfId="0" applyNumberFormat="1" applyFont="1" applyFill="1" applyBorder="1" applyAlignment="1">
      <alignment/>
    </xf>
    <xf numFmtId="170" fontId="15" fillId="40" borderId="11" xfId="0" applyNumberFormat="1" applyFont="1" applyFill="1" applyBorder="1" applyAlignment="1" applyProtection="1">
      <alignment/>
      <protection hidden="1"/>
    </xf>
    <xf numFmtId="49" fontId="0" fillId="0" borderId="0" xfId="0" applyNumberFormat="1" applyAlignment="1">
      <alignment/>
    </xf>
    <xf numFmtId="0" fontId="0" fillId="0" borderId="0" xfId="52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24" fillId="35" borderId="0" xfId="0" applyFont="1" applyFill="1" applyBorder="1" applyAlignment="1" applyProtection="1">
      <alignment horizontal="right" vertical="center"/>
      <protection/>
    </xf>
    <xf numFmtId="0" fontId="36" fillId="0" borderId="0" xfId="0" applyFont="1" applyAlignment="1">
      <alignment horizontal="right" vertical="center"/>
    </xf>
    <xf numFmtId="0" fontId="28" fillId="35" borderId="0" xfId="0" applyFont="1" applyFill="1" applyAlignment="1" applyProtection="1">
      <alignment/>
      <protection locked="0"/>
    </xf>
    <xf numFmtId="3" fontId="31" fillId="37" borderId="0" xfId="0" applyNumberFormat="1" applyFont="1" applyFill="1" applyAlignment="1" applyProtection="1">
      <alignment/>
      <protection/>
    </xf>
    <xf numFmtId="0" fontId="31" fillId="37" borderId="0" xfId="0" applyFont="1" applyFill="1" applyAlignment="1" applyProtection="1">
      <alignment/>
      <protection/>
    </xf>
    <xf numFmtId="0" fontId="0" fillId="0" borderId="15" xfId="0" applyBorder="1" applyAlignment="1" applyProtection="1">
      <alignment horizontal="center" vertical="center"/>
      <protection/>
    </xf>
    <xf numFmtId="0" fontId="4" fillId="36" borderId="24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Alignment="1">
      <alignment horizontal="center"/>
    </xf>
    <xf numFmtId="0" fontId="43" fillId="35" borderId="0" xfId="0" applyFont="1" applyFill="1" applyAlignment="1">
      <alignment/>
    </xf>
    <xf numFmtId="0" fontId="7" fillId="35" borderId="0" xfId="0" applyFont="1" applyFill="1" applyAlignment="1">
      <alignment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44" fillId="35" borderId="0" xfId="0" applyFont="1" applyFill="1" applyAlignment="1">
      <alignment/>
    </xf>
    <xf numFmtId="0" fontId="45" fillId="35" borderId="0" xfId="0" applyFont="1" applyFill="1" applyAlignment="1">
      <alignment/>
    </xf>
    <xf numFmtId="0" fontId="15" fillId="35" borderId="25" xfId="0" applyFont="1" applyFill="1" applyBorder="1" applyAlignment="1">
      <alignment horizontal="center" vertical="top"/>
    </xf>
    <xf numFmtId="0" fontId="4" fillId="35" borderId="26" xfId="0" applyFont="1" applyFill="1" applyBorder="1" applyAlignment="1">
      <alignment horizontal="center"/>
    </xf>
    <xf numFmtId="0" fontId="4" fillId="35" borderId="0" xfId="0" applyFont="1" applyFill="1" applyBorder="1" applyAlignment="1" applyProtection="1">
      <alignment horizontal="center" vertical="center" shrinkToFit="1"/>
      <protection locked="0"/>
    </xf>
    <xf numFmtId="0" fontId="4" fillId="36" borderId="21" xfId="0" applyFont="1" applyFill="1" applyBorder="1" applyAlignment="1" applyProtection="1">
      <alignment horizontal="center" vertical="center" shrinkToFit="1"/>
      <protection locked="0"/>
    </xf>
    <xf numFmtId="0" fontId="4" fillId="35" borderId="27" xfId="0" applyFont="1" applyFill="1" applyBorder="1" applyAlignment="1" applyProtection="1">
      <alignment horizontal="center" vertical="center"/>
      <protection locked="0"/>
    </xf>
    <xf numFmtId="0" fontId="39" fillId="35" borderId="0" xfId="0" applyFont="1" applyFill="1" applyBorder="1" applyAlignment="1" applyProtection="1">
      <alignment/>
      <protection hidden="1"/>
    </xf>
    <xf numFmtId="0" fontId="4" fillId="35" borderId="28" xfId="0" applyFont="1" applyFill="1" applyBorder="1" applyAlignment="1">
      <alignment horizontal="center" wrapText="1"/>
    </xf>
    <xf numFmtId="0" fontId="15" fillId="35" borderId="29" xfId="0" applyFont="1" applyFill="1" applyBorder="1" applyAlignment="1">
      <alignment horizontal="center" vertical="top"/>
    </xf>
    <xf numFmtId="0" fontId="15" fillId="35" borderId="30" xfId="0" applyFont="1" applyFill="1" applyBorder="1" applyAlignment="1">
      <alignment horizontal="center" vertical="top"/>
    </xf>
    <xf numFmtId="0" fontId="15" fillId="35" borderId="31" xfId="0" applyFont="1" applyFill="1" applyBorder="1" applyAlignment="1">
      <alignment horizontal="center" vertical="top"/>
    </xf>
    <xf numFmtId="0" fontId="4" fillId="35" borderId="26" xfId="0" applyFont="1" applyFill="1" applyBorder="1" applyAlignment="1">
      <alignment/>
    </xf>
    <xf numFmtId="0" fontId="4" fillId="35" borderId="32" xfId="0" applyFont="1" applyFill="1" applyBorder="1" applyAlignment="1">
      <alignment/>
    </xf>
    <xf numFmtId="0" fontId="4" fillId="36" borderId="3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/>
    </xf>
    <xf numFmtId="0" fontId="46" fillId="35" borderId="0" xfId="0" applyFont="1" applyFill="1" applyAlignment="1">
      <alignment/>
    </xf>
    <xf numFmtId="0" fontId="47" fillId="35" borderId="0" xfId="0" applyFont="1" applyFill="1" applyBorder="1" applyAlignment="1">
      <alignment/>
    </xf>
    <xf numFmtId="0" fontId="22" fillId="35" borderId="10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justify"/>
    </xf>
    <xf numFmtId="0" fontId="4" fillId="35" borderId="12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2" xfId="0" applyFont="1" applyFill="1" applyBorder="1" applyAlignment="1" applyProtection="1">
      <alignment horizontal="center" vertical="justify"/>
      <protection/>
    </xf>
    <xf numFmtId="170" fontId="28" fillId="35" borderId="0" xfId="0" applyNumberFormat="1" applyFont="1" applyFill="1" applyAlignment="1">
      <alignment/>
    </xf>
    <xf numFmtId="0" fontId="48" fillId="35" borderId="0" xfId="0" applyFont="1" applyFill="1" applyBorder="1" applyAlignment="1" applyProtection="1">
      <alignment/>
      <protection/>
    </xf>
    <xf numFmtId="0" fontId="49" fillId="35" borderId="0" xfId="0" applyFont="1" applyFill="1" applyBorder="1" applyAlignment="1" applyProtection="1">
      <alignment/>
      <protection/>
    </xf>
    <xf numFmtId="0" fontId="0" fillId="35" borderId="34" xfId="0" applyFill="1" applyBorder="1" applyAlignment="1" applyProtection="1">
      <alignment/>
      <protection/>
    </xf>
    <xf numFmtId="0" fontId="0" fillId="35" borderId="35" xfId="0" applyFill="1" applyBorder="1" applyAlignment="1" applyProtection="1">
      <alignment/>
      <protection/>
    </xf>
    <xf numFmtId="0" fontId="0" fillId="35" borderId="36" xfId="0" applyFill="1" applyBorder="1" applyAlignment="1" applyProtection="1">
      <alignment/>
      <protection/>
    </xf>
    <xf numFmtId="0" fontId="0" fillId="35" borderId="37" xfId="0" applyFill="1" applyBorder="1" applyAlignment="1" applyProtection="1">
      <alignment/>
      <protection/>
    </xf>
    <xf numFmtId="0" fontId="0" fillId="35" borderId="38" xfId="0" applyFill="1" applyBorder="1" applyAlignment="1" applyProtection="1">
      <alignment/>
      <protection/>
    </xf>
    <xf numFmtId="0" fontId="0" fillId="35" borderId="39" xfId="0" applyFill="1" applyBorder="1" applyAlignment="1" applyProtection="1">
      <alignment/>
      <protection/>
    </xf>
    <xf numFmtId="0" fontId="0" fillId="35" borderId="40" xfId="0" applyFill="1" applyBorder="1" applyAlignment="1" applyProtection="1">
      <alignment/>
      <protection/>
    </xf>
    <xf numFmtId="0" fontId="0" fillId="35" borderId="41" xfId="0" applyFill="1" applyBorder="1" applyAlignment="1" applyProtection="1">
      <alignment/>
      <protection/>
    </xf>
    <xf numFmtId="0" fontId="28" fillId="35" borderId="40" xfId="0" applyFont="1" applyFill="1" applyBorder="1" applyAlignment="1" applyProtection="1">
      <alignment/>
      <protection/>
    </xf>
    <xf numFmtId="0" fontId="28" fillId="35" borderId="35" xfId="0" applyFont="1" applyFill="1" applyBorder="1" applyAlignment="1" applyProtection="1">
      <alignment/>
      <protection/>
    </xf>
    <xf numFmtId="0" fontId="25" fillId="35" borderId="40" xfId="0" applyFont="1" applyFill="1" applyBorder="1" applyAlignment="1" applyProtection="1">
      <alignment vertical="center"/>
      <protection/>
    </xf>
    <xf numFmtId="0" fontId="29" fillId="35" borderId="40" xfId="0" applyFont="1" applyFill="1" applyBorder="1" applyAlignment="1" applyProtection="1">
      <alignment/>
      <protection/>
    </xf>
    <xf numFmtId="0" fontId="49" fillId="35" borderId="0" xfId="0" applyFont="1" applyFill="1" applyBorder="1" applyAlignment="1" applyProtection="1">
      <alignment vertical="center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12" fillId="39" borderId="12" xfId="0" applyFont="1" applyFill="1" applyBorder="1" applyAlignment="1" applyProtection="1">
      <alignment horizontal="center" vertical="center"/>
      <protection hidden="1"/>
    </xf>
    <xf numFmtId="164" fontId="12" fillId="35" borderId="12" xfId="0" applyNumberFormat="1" applyFont="1" applyFill="1" applyBorder="1" applyAlignment="1">
      <alignment/>
    </xf>
    <xf numFmtId="170" fontId="4" fillId="41" borderId="12" xfId="0" applyNumberFormat="1" applyFont="1" applyFill="1" applyBorder="1" applyAlignment="1" applyProtection="1">
      <alignment horizontal="center" vertical="center"/>
      <protection hidden="1"/>
    </xf>
    <xf numFmtId="164" fontId="4" fillId="40" borderId="12" xfId="0" applyNumberFormat="1" applyFont="1" applyFill="1" applyBorder="1" applyAlignment="1" applyProtection="1">
      <alignment/>
      <protection hidden="1"/>
    </xf>
    <xf numFmtId="0" fontId="15" fillId="35" borderId="12" xfId="0" applyFont="1" applyFill="1" applyBorder="1" applyAlignment="1" applyProtection="1">
      <alignment horizontal="center" vertical="center" wrapText="1"/>
      <protection hidden="1"/>
    </xf>
    <xf numFmtId="0" fontId="12" fillId="35" borderId="12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164" fontId="12" fillId="35" borderId="12" xfId="0" applyNumberFormat="1" applyFont="1" applyFill="1" applyBorder="1" applyAlignment="1" applyProtection="1">
      <alignment horizontal="center" vertical="center"/>
      <protection hidden="1"/>
    </xf>
    <xf numFmtId="164" fontId="4" fillId="41" borderId="12" xfId="0" applyNumberFormat="1" applyFont="1" applyFill="1" applyBorder="1" applyAlignment="1" applyProtection="1">
      <alignment/>
      <protection hidden="1"/>
    </xf>
    <xf numFmtId="0" fontId="4" fillId="36" borderId="12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/>
      <protection locked="0"/>
    </xf>
    <xf numFmtId="0" fontId="4" fillId="35" borderId="12" xfId="0" applyFont="1" applyFill="1" applyBorder="1" applyAlignment="1" applyProtection="1">
      <alignment/>
      <protection hidden="1"/>
    </xf>
    <xf numFmtId="0" fontId="4" fillId="36" borderId="12" xfId="0" applyFont="1" applyFill="1" applyBorder="1" applyAlignment="1" applyProtection="1">
      <alignment/>
      <protection locked="0"/>
    </xf>
    <xf numFmtId="164" fontId="39" fillId="35" borderId="0" xfId="0" applyNumberFormat="1" applyFont="1" applyFill="1" applyAlignment="1">
      <alignment/>
    </xf>
    <xf numFmtId="164" fontId="28" fillId="35" borderId="0" xfId="0" applyNumberFormat="1" applyFont="1" applyFill="1" applyAlignment="1">
      <alignment/>
    </xf>
    <xf numFmtId="0" fontId="4" fillId="40" borderId="12" xfId="0" applyFont="1" applyFill="1" applyBorder="1" applyAlignment="1" applyProtection="1">
      <alignment/>
      <protection hidden="1"/>
    </xf>
    <xf numFmtId="0" fontId="28" fillId="35" borderId="0" xfId="0" applyFont="1" applyFill="1" applyAlignment="1">
      <alignment/>
    </xf>
    <xf numFmtId="164" fontId="4" fillId="35" borderId="0" xfId="0" applyNumberFormat="1" applyFont="1" applyFill="1" applyAlignment="1">
      <alignment/>
    </xf>
    <xf numFmtId="0" fontId="4" fillId="35" borderId="12" xfId="0" applyFont="1" applyFill="1" applyBorder="1" applyAlignment="1">
      <alignment horizontal="center" wrapText="1"/>
    </xf>
    <xf numFmtId="0" fontId="12" fillId="35" borderId="12" xfId="0" applyFont="1" applyFill="1" applyBorder="1" applyAlignment="1" applyProtection="1">
      <alignment/>
      <protection/>
    </xf>
    <xf numFmtId="0" fontId="12" fillId="36" borderId="12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/>
    </xf>
    <xf numFmtId="0" fontId="4" fillId="0" borderId="12" xfId="0" applyFont="1" applyFill="1" applyBorder="1" applyAlignment="1" applyProtection="1">
      <alignment/>
      <protection locked="0"/>
    </xf>
    <xf numFmtId="0" fontId="0" fillId="35" borderId="0" xfId="0" applyNumberFormat="1" applyFont="1" applyFill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0" fontId="0" fillId="35" borderId="0" xfId="0" applyFont="1" applyFill="1" applyAlignment="1">
      <alignment/>
    </xf>
    <xf numFmtId="0" fontId="32" fillId="35" borderId="0" xfId="0" applyFont="1" applyFill="1" applyAlignment="1" applyProtection="1">
      <alignment/>
      <protection hidden="1"/>
    </xf>
    <xf numFmtId="164" fontId="0" fillId="35" borderId="0" xfId="0" applyNumberFormat="1" applyFill="1" applyAlignment="1">
      <alignment/>
    </xf>
    <xf numFmtId="0" fontId="4" fillId="35" borderId="0" xfId="0" applyFont="1" applyFill="1" applyAlignment="1">
      <alignment vertical="center"/>
    </xf>
    <xf numFmtId="0" fontId="30" fillId="35" borderId="0" xfId="0" applyFont="1" applyFill="1" applyAlignment="1" applyProtection="1">
      <alignment/>
      <protection locked="0"/>
    </xf>
    <xf numFmtId="0" fontId="12" fillId="0" borderId="11" xfId="0" applyFont="1" applyFill="1" applyBorder="1" applyAlignment="1">
      <alignment/>
    </xf>
    <xf numFmtId="0" fontId="12" fillId="0" borderId="11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 applyProtection="1">
      <alignment/>
      <protection locked="0"/>
    </xf>
    <xf numFmtId="0" fontId="52" fillId="35" borderId="0" xfId="0" applyFont="1" applyFill="1" applyAlignment="1">
      <alignment/>
    </xf>
    <xf numFmtId="0" fontId="4" fillId="35" borderId="0" xfId="0" applyFont="1" applyFill="1" applyBorder="1" applyAlignment="1">
      <alignment horizontal="left"/>
    </xf>
    <xf numFmtId="0" fontId="53" fillId="35" borderId="0" xfId="0" applyFont="1" applyFill="1" applyBorder="1" applyAlignment="1">
      <alignment horizontal="center" vertical="center"/>
    </xf>
    <xf numFmtId="0" fontId="0" fillId="35" borderId="0" xfId="0" applyNumberFormat="1" applyFill="1" applyAlignment="1">
      <alignment/>
    </xf>
    <xf numFmtId="0" fontId="12" fillId="36" borderId="12" xfId="0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/>
      <protection locked="0"/>
    </xf>
    <xf numFmtId="0" fontId="30" fillId="35" borderId="0" xfId="0" applyFont="1" applyFill="1" applyAlignment="1" applyProtection="1">
      <alignment/>
      <protection hidden="1" locked="0"/>
    </xf>
    <xf numFmtId="170" fontId="4" fillId="36" borderId="17" xfId="0" applyNumberFormat="1" applyFont="1" applyFill="1" applyBorder="1" applyAlignment="1" applyProtection="1">
      <alignment horizontal="center" vertical="center"/>
      <protection locked="0"/>
    </xf>
    <xf numFmtId="170" fontId="4" fillId="36" borderId="13" xfId="0" applyNumberFormat="1" applyFont="1" applyFill="1" applyBorder="1" applyAlignment="1" applyProtection="1">
      <alignment horizontal="center"/>
      <protection locked="0"/>
    </xf>
    <xf numFmtId="170" fontId="4" fillId="36" borderId="17" xfId="0" applyNumberFormat="1" applyFont="1" applyFill="1" applyBorder="1" applyAlignment="1" applyProtection="1">
      <alignment horizontal="center"/>
      <protection locked="0"/>
    </xf>
    <xf numFmtId="4" fontId="4" fillId="36" borderId="13" xfId="0" applyNumberFormat="1" applyFont="1" applyFill="1" applyBorder="1" applyAlignment="1" applyProtection="1">
      <alignment horizontal="center"/>
      <protection locked="0"/>
    </xf>
    <xf numFmtId="0" fontId="4" fillId="36" borderId="13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 quotePrefix="1">
      <alignment horizontal="center"/>
    </xf>
    <xf numFmtId="0" fontId="0" fillId="33" borderId="0" xfId="0" applyFill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5" fillId="0" borderId="0" xfId="0" applyFont="1" applyFill="1" applyBorder="1" applyAlignment="1">
      <alignment horizontal="center"/>
    </xf>
    <xf numFmtId="0" fontId="26" fillId="35" borderId="0" xfId="0" applyFont="1" applyFill="1" applyBorder="1" applyAlignment="1" applyProtection="1">
      <alignment horizontal="center"/>
      <protection/>
    </xf>
    <xf numFmtId="0" fontId="55" fillId="35" borderId="0" xfId="0" applyFont="1" applyFill="1" applyBorder="1" applyAlignment="1" applyProtection="1">
      <alignment/>
      <protection/>
    </xf>
    <xf numFmtId="0" fontId="26" fillId="35" borderId="0" xfId="0" applyFont="1" applyFill="1" applyBorder="1" applyAlignment="1" applyProtection="1">
      <alignment horizontal="left"/>
      <protection/>
    </xf>
    <xf numFmtId="0" fontId="26" fillId="35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35" borderId="0" xfId="0" applyFill="1" applyBorder="1" applyAlignment="1" applyProtection="1">
      <alignment/>
      <protection locked="0"/>
    </xf>
    <xf numFmtId="0" fontId="0" fillId="35" borderId="0" xfId="0" applyFont="1" applyFill="1" applyAlignment="1" applyProtection="1">
      <alignment/>
      <protection locked="0"/>
    </xf>
    <xf numFmtId="0" fontId="4" fillId="35" borderId="0" xfId="0" applyFont="1" applyFill="1" applyBorder="1" applyAlignment="1" applyProtection="1">
      <alignment horizontal="center" vertical="center"/>
      <protection/>
    </xf>
    <xf numFmtId="164" fontId="12" fillId="35" borderId="0" xfId="0" applyNumberFormat="1" applyFont="1" applyFill="1" applyBorder="1" applyAlignment="1" applyProtection="1">
      <alignment horizontal="center" vertical="center"/>
      <protection hidden="1"/>
    </xf>
    <xf numFmtId="0" fontId="12" fillId="35" borderId="0" xfId="0" applyFont="1" applyFill="1" applyBorder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locked="0"/>
    </xf>
    <xf numFmtId="170" fontId="4" fillId="35" borderId="0" xfId="0" applyNumberFormat="1" applyFont="1" applyFill="1" applyBorder="1" applyAlignment="1" applyProtection="1">
      <alignment horizontal="center" vertical="center"/>
      <protection hidden="1"/>
    </xf>
    <xf numFmtId="0" fontId="4" fillId="35" borderId="14" xfId="0" applyFont="1" applyFill="1" applyBorder="1" applyAlignment="1">
      <alignment horizontal="center" vertical="center"/>
    </xf>
    <xf numFmtId="0" fontId="12" fillId="39" borderId="12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Border="1" applyAlignment="1" applyProtection="1">
      <alignment horizontal="center" vertical="center"/>
      <protection locked="0"/>
    </xf>
    <xf numFmtId="0" fontId="12" fillId="35" borderId="0" xfId="0" applyFont="1" applyFill="1" applyBorder="1" applyAlignment="1" applyProtection="1">
      <alignment horizontal="center" vertical="center"/>
      <protection locked="0"/>
    </xf>
    <xf numFmtId="0" fontId="7" fillId="35" borderId="0" xfId="0" applyFont="1" applyFill="1" applyAlignment="1" applyProtection="1">
      <alignment/>
      <protection hidden="1"/>
    </xf>
    <xf numFmtId="0" fontId="4" fillId="35" borderId="11" xfId="0" applyFont="1" applyFill="1" applyBorder="1" applyAlignment="1">
      <alignment horizontal="center" vertical="center"/>
    </xf>
    <xf numFmtId="164" fontId="4" fillId="42" borderId="12" xfId="0" applyNumberFormat="1" applyFont="1" applyFill="1" applyBorder="1" applyAlignment="1" applyProtection="1">
      <alignment horizontal="center" vertical="center"/>
      <protection hidden="1" locked="0"/>
    </xf>
    <xf numFmtId="0" fontId="4" fillId="42" borderId="12" xfId="0" applyFont="1" applyFill="1" applyBorder="1" applyAlignment="1" applyProtection="1">
      <alignment horizontal="center" vertical="center"/>
      <protection locked="0"/>
    </xf>
    <xf numFmtId="0" fontId="57" fillId="35" borderId="0" xfId="0" applyFont="1" applyFill="1" applyAlignment="1">
      <alignment/>
    </xf>
    <xf numFmtId="0" fontId="3" fillId="35" borderId="0" xfId="0" applyFont="1" applyFill="1" applyBorder="1" applyAlignment="1">
      <alignment/>
    </xf>
    <xf numFmtId="0" fontId="4" fillId="35" borderId="0" xfId="0" applyFont="1" applyFill="1" applyBorder="1" applyAlignment="1" applyProtection="1">
      <alignment/>
      <protection locked="0"/>
    </xf>
    <xf numFmtId="0" fontId="37" fillId="42" borderId="25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4" fillId="42" borderId="12" xfId="0" applyFont="1" applyFill="1" applyBorder="1" applyAlignment="1" applyProtection="1">
      <alignment horizontal="center" vertical="center"/>
      <protection/>
    </xf>
    <xf numFmtId="164" fontId="4" fillId="42" borderId="12" xfId="0" applyNumberFormat="1" applyFont="1" applyFill="1" applyBorder="1" applyAlignment="1" applyProtection="1">
      <alignment horizontal="center" vertical="center"/>
      <protection hidden="1"/>
    </xf>
    <xf numFmtId="0" fontId="3" fillId="0" borderId="42" xfId="0" applyFont="1" applyFill="1" applyBorder="1" applyAlignment="1" applyProtection="1">
      <alignment horizontal="center"/>
      <protection locked="0"/>
    </xf>
    <xf numFmtId="0" fontId="3" fillId="0" borderId="43" xfId="0" applyFont="1" applyFill="1" applyBorder="1" applyAlignment="1" applyProtection="1">
      <alignment horizontal="center"/>
      <protection locked="0"/>
    </xf>
    <xf numFmtId="0" fontId="60" fillId="35" borderId="0" xfId="0" applyFont="1" applyFill="1" applyAlignment="1">
      <alignment/>
    </xf>
    <xf numFmtId="0" fontId="4" fillId="35" borderId="0" xfId="0" applyFont="1" applyFill="1" applyBorder="1" applyAlignment="1">
      <alignment horizontal="center" vertical="justify"/>
    </xf>
    <xf numFmtId="0" fontId="4" fillId="35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right"/>
      <protection locked="0"/>
    </xf>
    <xf numFmtId="0" fontId="4" fillId="35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0" fillId="35" borderId="0" xfId="0" applyFill="1" applyBorder="1" applyAlignment="1" applyProtection="1">
      <alignment/>
      <protection/>
    </xf>
    <xf numFmtId="0" fontId="32" fillId="35" borderId="0" xfId="0" applyFont="1" applyFill="1" applyBorder="1" applyAlignment="1">
      <alignment horizontal="center" vertical="justify"/>
    </xf>
    <xf numFmtId="0" fontId="12" fillId="35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/>
      <protection/>
    </xf>
    <xf numFmtId="164" fontId="4" fillId="40" borderId="12" xfId="0" applyNumberFormat="1" applyFont="1" applyFill="1" applyBorder="1" applyAlignment="1" applyProtection="1">
      <alignment/>
      <protection hidden="1"/>
    </xf>
    <xf numFmtId="0" fontId="59" fillId="35" borderId="0" xfId="0" applyFont="1" applyFill="1" applyAlignment="1" applyProtection="1">
      <alignment/>
      <protection hidden="1"/>
    </xf>
    <xf numFmtId="0" fontId="5" fillId="35" borderId="0" xfId="0" applyFont="1" applyFill="1" applyAlignment="1" applyProtection="1">
      <alignment/>
      <protection hidden="1"/>
    </xf>
    <xf numFmtId="0" fontId="4" fillId="35" borderId="12" xfId="0" applyFont="1" applyFill="1" applyBorder="1" applyAlignment="1" applyProtection="1">
      <alignment/>
      <protection hidden="1"/>
    </xf>
    <xf numFmtId="0" fontId="56" fillId="35" borderId="0" xfId="0" applyFont="1" applyFill="1" applyBorder="1" applyAlignment="1" applyProtection="1">
      <alignment horizontal="center" vertical="center" shrinkToFit="1"/>
      <protection/>
    </xf>
    <xf numFmtId="0" fontId="0" fillId="35" borderId="0" xfId="0" applyFill="1" applyBorder="1" applyAlignment="1" applyProtection="1">
      <alignment horizontal="center"/>
      <protection locked="0"/>
    </xf>
    <xf numFmtId="170" fontId="15" fillId="35" borderId="0" xfId="0" applyNumberFormat="1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 horizontal="center" vertical="center"/>
      <protection locked="0"/>
    </xf>
    <xf numFmtId="0" fontId="0" fillId="35" borderId="0" xfId="0" applyFont="1" applyFill="1" applyBorder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 vertical="center"/>
      <protection locked="0"/>
    </xf>
    <xf numFmtId="0" fontId="0" fillId="35" borderId="0" xfId="0" applyFont="1" applyFill="1" applyBorder="1" applyAlignment="1" applyProtection="1">
      <alignment horizontal="center" vertical="center"/>
      <protection hidden="1" locked="0"/>
    </xf>
    <xf numFmtId="0" fontId="0" fillId="35" borderId="0" xfId="0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/>
      <protection locked="0"/>
    </xf>
    <xf numFmtId="0" fontId="58" fillId="35" borderId="0" xfId="0" applyFont="1" applyFill="1" applyBorder="1" applyAlignment="1">
      <alignment/>
    </xf>
    <xf numFmtId="0" fontId="58" fillId="35" borderId="0" xfId="0" applyFont="1" applyFill="1" applyAlignment="1">
      <alignment/>
    </xf>
    <xf numFmtId="0" fontId="4" fillId="0" borderId="44" xfId="0" applyFont="1" applyFill="1" applyBorder="1" applyAlignment="1" applyProtection="1">
      <alignment horizontal="center"/>
      <protection locked="0"/>
    </xf>
    <xf numFmtId="0" fontId="4" fillId="35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7" fillId="35" borderId="0" xfId="0" applyFont="1" applyFill="1" applyBorder="1" applyAlignment="1" applyProtection="1">
      <alignment/>
      <protection hidden="1"/>
    </xf>
    <xf numFmtId="0" fontId="37" fillId="0" borderId="0" xfId="0" applyFont="1" applyFill="1" applyBorder="1" applyAlignment="1" applyProtection="1">
      <alignment horizontal="center" vertical="center"/>
      <protection hidden="1"/>
    </xf>
    <xf numFmtId="0" fontId="37" fillId="0" borderId="45" xfId="0" applyFont="1" applyFill="1" applyBorder="1" applyAlignment="1" applyProtection="1">
      <alignment horizontal="center" vertical="center"/>
      <protection hidden="1"/>
    </xf>
    <xf numFmtId="170" fontId="3" fillId="0" borderId="46" xfId="0" applyNumberFormat="1" applyFont="1" applyBorder="1" applyAlignment="1">
      <alignment horizontal="right" vertical="center"/>
    </xf>
    <xf numFmtId="170" fontId="3" fillId="0" borderId="47" xfId="0" applyNumberFormat="1" applyFont="1" applyBorder="1" applyAlignment="1">
      <alignment horizontal="right" vertical="center"/>
    </xf>
    <xf numFmtId="0" fontId="3" fillId="0" borderId="15" xfId="0" applyFont="1" applyFill="1" applyBorder="1" applyAlignment="1" applyProtection="1">
      <alignment horizontal="justify" vertical="center"/>
      <protection hidden="1"/>
    </xf>
    <xf numFmtId="0" fontId="24" fillId="35" borderId="0" xfId="0" applyFont="1" applyFill="1" applyBorder="1" applyAlignment="1" applyProtection="1">
      <alignment/>
      <protection/>
    </xf>
    <xf numFmtId="0" fontId="0" fillId="35" borderId="48" xfId="0" applyFill="1" applyBorder="1" applyAlignment="1" applyProtection="1">
      <alignment/>
      <protection/>
    </xf>
    <xf numFmtId="0" fontId="0" fillId="35" borderId="49" xfId="0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6" borderId="27" xfId="0" applyFont="1" applyFill="1" applyBorder="1" applyAlignment="1">
      <alignment horizontal="center"/>
    </xf>
    <xf numFmtId="0" fontId="63" fillId="35" borderId="0" xfId="0" applyFont="1" applyFill="1" applyAlignment="1" applyProtection="1">
      <alignment horizontal="right" vertical="center"/>
      <protection/>
    </xf>
    <xf numFmtId="0" fontId="62" fillId="43" borderId="12" xfId="0" applyFont="1" applyFill="1" applyBorder="1" applyAlignment="1" applyProtection="1">
      <alignment horizontal="center"/>
      <protection locked="0"/>
    </xf>
    <xf numFmtId="0" fontId="62" fillId="43" borderId="12" xfId="0" applyFont="1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62" fillId="43" borderId="50" xfId="0" applyFont="1" applyFill="1" applyBorder="1" applyAlignment="1" applyProtection="1">
      <alignment horizontal="center"/>
      <protection locked="0"/>
    </xf>
    <xf numFmtId="0" fontId="62" fillId="43" borderId="50" xfId="0" applyFont="1" applyFill="1" applyBorder="1" applyAlignment="1" applyProtection="1">
      <alignment/>
      <protection locked="0"/>
    </xf>
    <xf numFmtId="0" fontId="24" fillId="35" borderId="0" xfId="0" applyFont="1" applyFill="1" applyBorder="1" applyAlignment="1" applyProtection="1">
      <alignment horizontal="center" vertical="center"/>
      <protection/>
    </xf>
    <xf numFmtId="0" fontId="24" fillId="35" borderId="51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left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Border="1" applyAlignment="1">
      <alignment horizontal="center"/>
    </xf>
    <xf numFmtId="0" fontId="23" fillId="37" borderId="0" xfId="0" applyFont="1" applyFill="1" applyBorder="1" applyAlignment="1" applyProtection="1">
      <alignment horizontal="center" vertical="center"/>
      <protection/>
    </xf>
    <xf numFmtId="3" fontId="0" fillId="36" borderId="52" xfId="0" applyNumberFormat="1" applyFill="1" applyBorder="1" applyAlignment="1" applyProtection="1">
      <alignment vertical="center"/>
      <protection locked="0"/>
    </xf>
    <xf numFmtId="0" fontId="0" fillId="36" borderId="53" xfId="0" applyFill="1" applyBorder="1" applyAlignment="1" applyProtection="1">
      <alignment vertical="center"/>
      <protection locked="0"/>
    </xf>
    <xf numFmtId="0" fontId="0" fillId="36" borderId="52" xfId="0" applyFont="1" applyFill="1" applyBorder="1" applyAlignment="1" applyProtection="1">
      <alignment horizontal="left"/>
      <protection locked="0"/>
    </xf>
    <xf numFmtId="0" fontId="0" fillId="36" borderId="54" xfId="0" applyFont="1" applyFill="1" applyBorder="1" applyAlignment="1" applyProtection="1">
      <alignment horizontal="left"/>
      <protection locked="0"/>
    </xf>
    <xf numFmtId="0" fontId="0" fillId="36" borderId="53" xfId="0" applyFont="1" applyFill="1" applyBorder="1" applyAlignment="1" applyProtection="1">
      <alignment horizontal="left"/>
      <protection locked="0"/>
    </xf>
    <xf numFmtId="0" fontId="0" fillId="36" borderId="52" xfId="0" applyFont="1" applyFill="1" applyBorder="1" applyAlignment="1" applyProtection="1">
      <alignment horizontal="center" vertical="center"/>
      <protection/>
    </xf>
    <xf numFmtId="0" fontId="0" fillId="36" borderId="54" xfId="0" applyFont="1" applyFill="1" applyBorder="1" applyAlignment="1" applyProtection="1">
      <alignment horizontal="center" vertical="center"/>
      <protection/>
    </xf>
    <xf numFmtId="0" fontId="0" fillId="36" borderId="53" xfId="0" applyFont="1" applyFill="1" applyBorder="1" applyAlignment="1" applyProtection="1">
      <alignment horizontal="center" vertical="center"/>
      <protection/>
    </xf>
    <xf numFmtId="0" fontId="56" fillId="35" borderId="0" xfId="0" applyFont="1" applyFill="1" applyBorder="1" applyAlignment="1" applyProtection="1">
      <alignment horizontal="center" vertical="center"/>
      <protection/>
    </xf>
    <xf numFmtId="0" fontId="56" fillId="35" borderId="0" xfId="0" applyFont="1" applyFill="1" applyBorder="1" applyAlignment="1" applyProtection="1">
      <alignment horizontal="center" vertical="center" shrinkToFit="1"/>
      <protection/>
    </xf>
    <xf numFmtId="0" fontId="32" fillId="35" borderId="0" xfId="0" applyFont="1" applyFill="1" applyBorder="1" applyAlignment="1">
      <alignment vertical="center" shrinkToFit="1"/>
    </xf>
    <xf numFmtId="0" fontId="3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56" fillId="35" borderId="0" xfId="0" applyFont="1" applyFill="1" applyBorder="1" applyAlignment="1" applyProtection="1">
      <alignment horizontal="center" vertical="justify"/>
      <protection/>
    </xf>
    <xf numFmtId="0" fontId="32" fillId="35" borderId="0" xfId="0" applyFont="1" applyFill="1" applyBorder="1" applyAlignment="1">
      <alignment horizontal="center" vertical="justify"/>
    </xf>
    <xf numFmtId="0" fontId="0" fillId="36" borderId="13" xfId="0" applyFill="1" applyBorder="1" applyAlignment="1" applyProtection="1">
      <alignment horizontal="center" vertical="center"/>
      <protection locked="0"/>
    </xf>
    <xf numFmtId="0" fontId="0" fillId="36" borderId="55" xfId="0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56" fillId="35" borderId="0" xfId="0" applyFont="1" applyFill="1" applyBorder="1" applyAlignment="1" applyProtection="1">
      <alignment horizontal="center" vertical="justify" shrinkToFit="1"/>
      <protection/>
    </xf>
    <xf numFmtId="0" fontId="0" fillId="35" borderId="0" xfId="0" applyFill="1" applyBorder="1" applyAlignment="1">
      <alignment horizontal="center" vertical="justify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vertical="top" wrapText="1"/>
    </xf>
    <xf numFmtId="0" fontId="4" fillId="35" borderId="13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" fillId="39" borderId="24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36" borderId="10" xfId="0" applyFont="1" applyFill="1" applyBorder="1" applyAlignment="1" applyProtection="1">
      <alignment horizontal="center" vertical="center"/>
      <protection locked="0"/>
    </xf>
    <xf numFmtId="0" fontId="4" fillId="36" borderId="27" xfId="0" applyFont="1" applyFill="1" applyBorder="1" applyAlignment="1" applyProtection="1">
      <alignment horizontal="center" vertical="center"/>
      <protection locked="0"/>
    </xf>
    <xf numFmtId="0" fontId="4" fillId="36" borderId="14" xfId="0" applyFont="1" applyFill="1" applyBorder="1" applyAlignment="1" applyProtection="1">
      <alignment horizontal="center" vertical="center"/>
      <protection locked="0"/>
    </xf>
    <xf numFmtId="0" fontId="4" fillId="36" borderId="10" xfId="0" applyNumberFormat="1" applyFont="1" applyFill="1" applyBorder="1" applyAlignment="1" applyProtection="1">
      <alignment horizontal="center" vertical="center"/>
      <protection locked="0"/>
    </xf>
    <xf numFmtId="0" fontId="4" fillId="36" borderId="27" xfId="0" applyNumberFormat="1" applyFont="1" applyFill="1" applyBorder="1" applyAlignment="1" applyProtection="1">
      <alignment horizontal="center" vertical="center"/>
      <protection locked="0"/>
    </xf>
    <xf numFmtId="0" fontId="4" fillId="36" borderId="14" xfId="0" applyNumberFormat="1" applyFont="1" applyFill="1" applyBorder="1" applyAlignment="1" applyProtection="1">
      <alignment horizontal="center" vertical="center"/>
      <protection locked="0"/>
    </xf>
    <xf numFmtId="0" fontId="15" fillId="35" borderId="13" xfId="0" applyFont="1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1" xfId="0" applyBorder="1" applyAlignment="1">
      <alignment horizontal="center"/>
    </xf>
    <xf numFmtId="170" fontId="15" fillId="40" borderId="13" xfId="0" applyNumberFormat="1" applyFont="1" applyFill="1" applyBorder="1" applyAlignment="1" applyProtection="1">
      <alignment horizontal="center" vertical="center"/>
      <protection hidden="1"/>
    </xf>
    <xf numFmtId="170" fontId="0" fillId="0" borderId="11" xfId="0" applyNumberFormat="1" applyBorder="1" applyAlignment="1">
      <alignment horizontal="center" vertical="center"/>
    </xf>
    <xf numFmtId="0" fontId="15" fillId="41" borderId="13" xfId="0" applyFont="1" applyFill="1" applyBorder="1" applyAlignment="1" applyProtection="1">
      <alignment/>
      <protection hidden="1"/>
    </xf>
    <xf numFmtId="0" fontId="0" fillId="0" borderId="55" xfId="0" applyBorder="1" applyAlignment="1">
      <alignment/>
    </xf>
    <xf numFmtId="0" fontId="4" fillId="36" borderId="19" xfId="0" applyNumberFormat="1" applyFont="1" applyFill="1" applyBorder="1" applyAlignment="1" applyProtection="1">
      <alignment horizontal="center" vertical="center"/>
      <protection locked="0"/>
    </xf>
    <xf numFmtId="0" fontId="4" fillId="36" borderId="17" xfId="0" applyNumberFormat="1" applyFont="1" applyFill="1" applyBorder="1" applyAlignment="1" applyProtection="1">
      <alignment horizontal="center" vertical="center"/>
      <protection locked="0"/>
    </xf>
    <xf numFmtId="0" fontId="4" fillId="39" borderId="10" xfId="0" applyFont="1" applyFill="1" applyBorder="1" applyAlignment="1" applyProtection="1">
      <alignment horizontal="center" vertical="center"/>
      <protection hidden="1"/>
    </xf>
    <xf numFmtId="0" fontId="4" fillId="35" borderId="0" xfId="0" applyFont="1" applyFill="1" applyBorder="1" applyAlignment="1" applyProtection="1">
      <alignment horizontal="justify" vertical="center"/>
      <protection/>
    </xf>
    <xf numFmtId="0" fontId="0" fillId="35" borderId="0" xfId="0" applyFill="1" applyBorder="1" applyAlignment="1" applyProtection="1">
      <alignment horizontal="justify" vertical="center"/>
      <protection/>
    </xf>
    <xf numFmtId="0" fontId="4" fillId="35" borderId="0" xfId="0" applyFont="1" applyFill="1" applyAlignment="1">
      <alignment horizontal="center" vertical="center" shrinkToFit="1"/>
    </xf>
    <xf numFmtId="0" fontId="15" fillId="35" borderId="0" xfId="0" applyFont="1" applyFill="1" applyAlignment="1">
      <alignment horizontal="left" vertical="top"/>
    </xf>
    <xf numFmtId="0" fontId="15" fillId="35" borderId="55" xfId="0" applyFont="1" applyFill="1" applyBorder="1" applyAlignment="1">
      <alignment horizontal="center"/>
    </xf>
    <xf numFmtId="0" fontId="4" fillId="39" borderId="27" xfId="0" applyFont="1" applyFill="1" applyBorder="1" applyAlignment="1" applyProtection="1">
      <alignment horizontal="center" vertical="center"/>
      <protection hidden="1"/>
    </xf>
    <xf numFmtId="0" fontId="4" fillId="39" borderId="14" xfId="0" applyFont="1" applyFill="1" applyBorder="1" applyAlignment="1" applyProtection="1">
      <alignment horizontal="center" vertical="center"/>
      <protection hidden="1"/>
    </xf>
    <xf numFmtId="0" fontId="15" fillId="41" borderId="13" xfId="0" applyFont="1" applyFill="1" applyBorder="1" applyAlignment="1">
      <alignment/>
    </xf>
    <xf numFmtId="170" fontId="15" fillId="41" borderId="10" xfId="0" applyNumberFormat="1" applyFont="1" applyFill="1" applyBorder="1" applyAlignment="1" applyProtection="1">
      <alignment horizontal="center" vertical="center"/>
      <protection hidden="1"/>
    </xf>
    <xf numFmtId="170" fontId="15" fillId="41" borderId="27" xfId="0" applyNumberFormat="1" applyFont="1" applyFill="1" applyBorder="1" applyAlignment="1" applyProtection="1">
      <alignment horizontal="center" vertical="center"/>
      <protection hidden="1"/>
    </xf>
    <xf numFmtId="170" fontId="15" fillId="41" borderId="14" xfId="0" applyNumberFormat="1" applyFont="1" applyFill="1" applyBorder="1" applyAlignment="1" applyProtection="1">
      <alignment horizontal="center" vertical="center"/>
      <protection hidden="1"/>
    </xf>
    <xf numFmtId="0" fontId="4" fillId="36" borderId="19" xfId="0" applyFont="1" applyFill="1" applyBorder="1" applyAlignment="1" applyProtection="1">
      <alignment horizontal="center" vertical="center"/>
      <protection locked="0"/>
    </xf>
    <xf numFmtId="0" fontId="4" fillId="36" borderId="17" xfId="0" applyFont="1" applyFill="1" applyBorder="1" applyAlignment="1" applyProtection="1">
      <alignment horizontal="center" vertical="center"/>
      <protection locked="0"/>
    </xf>
    <xf numFmtId="0" fontId="4" fillId="38" borderId="0" xfId="0" applyFont="1" applyFill="1" applyBorder="1" applyAlignment="1" applyProtection="1">
      <alignment horizontal="justify" vertical="center"/>
      <protection hidden="1"/>
    </xf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5" fillId="35" borderId="0" xfId="0" applyFont="1" applyFill="1" applyBorder="1" applyAlignment="1" applyProtection="1">
      <alignment horizontal="left" vertical="top"/>
      <protection/>
    </xf>
    <xf numFmtId="0" fontId="15" fillId="41" borderId="55" xfId="0" applyFont="1" applyFill="1" applyBorder="1" applyAlignment="1">
      <alignment/>
    </xf>
    <xf numFmtId="0" fontId="15" fillId="41" borderId="11" xfId="0" applyFont="1" applyFill="1" applyBorder="1" applyAlignment="1">
      <alignment/>
    </xf>
    <xf numFmtId="170" fontId="15" fillId="40" borderId="13" xfId="0" applyNumberFormat="1" applyFont="1" applyFill="1" applyBorder="1" applyAlignment="1" applyProtection="1">
      <alignment horizontal="center"/>
      <protection hidden="1"/>
    </xf>
    <xf numFmtId="170" fontId="15" fillId="40" borderId="11" xfId="0" applyNumberFormat="1" applyFont="1" applyFill="1" applyBorder="1" applyAlignment="1" applyProtection="1">
      <alignment horizontal="center"/>
      <protection hidden="1"/>
    </xf>
    <xf numFmtId="0" fontId="4" fillId="35" borderId="12" xfId="0" applyFont="1" applyFill="1" applyBorder="1" applyAlignment="1">
      <alignment horizontal="center"/>
    </xf>
    <xf numFmtId="0" fontId="4" fillId="35" borderId="56" xfId="0" applyFont="1" applyFill="1" applyBorder="1" applyAlignment="1">
      <alignment horizontal="center"/>
    </xf>
    <xf numFmtId="0" fontId="32" fillId="36" borderId="28" xfId="0" applyFont="1" applyFill="1" applyBorder="1" applyAlignment="1" applyProtection="1">
      <alignment horizontal="center" vertical="center"/>
      <protection locked="0"/>
    </xf>
    <xf numFmtId="0" fontId="0" fillId="35" borderId="57" xfId="0" applyFill="1" applyBorder="1" applyAlignment="1" applyProtection="1">
      <alignment horizontal="center" vertical="center"/>
      <protection locked="0"/>
    </xf>
    <xf numFmtId="0" fontId="0" fillId="0" borderId="58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164" fontId="4" fillId="39" borderId="28" xfId="0" applyNumberFormat="1" applyFont="1" applyFill="1" applyBorder="1" applyAlignment="1" applyProtection="1">
      <alignment horizontal="center" vertical="center"/>
      <protection hidden="1"/>
    </xf>
    <xf numFmtId="0" fontId="0" fillId="39" borderId="57" xfId="0" applyFont="1" applyFill="1" applyBorder="1" applyAlignment="1" applyProtection="1">
      <alignment horizontal="center" vertical="center"/>
      <protection hidden="1"/>
    </xf>
    <xf numFmtId="0" fontId="4" fillId="36" borderId="28" xfId="0" applyFont="1" applyFill="1" applyBorder="1" applyAlignment="1" applyProtection="1">
      <alignment horizontal="center" vertical="center"/>
      <protection hidden="1" locked="0"/>
    </xf>
    <xf numFmtId="0" fontId="0" fillId="0" borderId="57" xfId="0" applyFont="1" applyBorder="1" applyAlignment="1" applyProtection="1">
      <alignment horizontal="center" vertical="center"/>
      <protection hidden="1" locked="0"/>
    </xf>
    <xf numFmtId="0" fontId="2" fillId="35" borderId="60" xfId="0" applyFont="1" applyFill="1" applyBorder="1" applyAlignment="1">
      <alignment horizontal="center"/>
    </xf>
    <xf numFmtId="0" fontId="2" fillId="35" borderId="61" xfId="0" applyFont="1" applyFill="1" applyBorder="1" applyAlignment="1">
      <alignment horizontal="center"/>
    </xf>
    <xf numFmtId="0" fontId="2" fillId="35" borderId="62" xfId="0" applyFont="1" applyFill="1" applyBorder="1" applyAlignment="1">
      <alignment horizontal="center"/>
    </xf>
    <xf numFmtId="0" fontId="15" fillId="35" borderId="63" xfId="0" applyFont="1" applyFill="1" applyBorder="1" applyAlignment="1">
      <alignment horizontal="center"/>
    </xf>
    <xf numFmtId="0" fontId="15" fillId="35" borderId="64" xfId="0" applyFont="1" applyFill="1" applyBorder="1" applyAlignment="1">
      <alignment horizontal="center"/>
    </xf>
    <xf numFmtId="0" fontId="15" fillId="35" borderId="65" xfId="0" applyFont="1" applyFill="1" applyBorder="1" applyAlignment="1">
      <alignment horizontal="center"/>
    </xf>
    <xf numFmtId="170" fontId="4" fillId="41" borderId="29" xfId="0" applyNumberFormat="1" applyFont="1" applyFill="1" applyBorder="1" applyAlignment="1" applyProtection="1">
      <alignment horizontal="center" vertical="center"/>
      <protection hidden="1"/>
    </xf>
    <xf numFmtId="0" fontId="0" fillId="41" borderId="66" xfId="0" applyFill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/>
      <protection hidden="1"/>
    </xf>
    <xf numFmtId="0" fontId="0" fillId="0" borderId="58" xfId="0" applyFont="1" applyBorder="1" applyAlignment="1" applyProtection="1">
      <alignment/>
      <protection hidden="1"/>
    </xf>
    <xf numFmtId="0" fontId="4" fillId="0" borderId="10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/>
      <protection hidden="1" locked="0"/>
    </xf>
    <xf numFmtId="0" fontId="0" fillId="0" borderId="58" xfId="0" applyFont="1" applyFill="1" applyBorder="1" applyAlignment="1" applyProtection="1">
      <alignment/>
      <protection hidden="1" locked="0"/>
    </xf>
    <xf numFmtId="170" fontId="4" fillId="41" borderId="56" xfId="0" applyNumberFormat="1" applyFont="1" applyFill="1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/>
      <protection hidden="1"/>
    </xf>
    <xf numFmtId="0" fontId="0" fillId="0" borderId="59" xfId="0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4" fillId="38" borderId="0" xfId="0" applyFont="1" applyFill="1" applyAlignment="1" applyProtection="1">
      <alignment/>
      <protection hidden="1"/>
    </xf>
    <xf numFmtId="0" fontId="15" fillId="35" borderId="68" xfId="0" applyFont="1" applyFill="1" applyBorder="1" applyAlignment="1">
      <alignment horizontal="center"/>
    </xf>
    <xf numFmtId="0" fontId="0" fillId="0" borderId="69" xfId="0" applyBorder="1" applyAlignment="1">
      <alignment horizontal="center"/>
    </xf>
    <xf numFmtId="0" fontId="32" fillId="40" borderId="16" xfId="0" applyFont="1" applyFill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70" xfId="0" applyBorder="1" applyAlignment="1" applyProtection="1">
      <alignment/>
      <protection hidden="1"/>
    </xf>
    <xf numFmtId="0" fontId="0" fillId="0" borderId="27" xfId="0" applyFont="1" applyBorder="1" applyAlignment="1">
      <alignment/>
    </xf>
    <xf numFmtId="0" fontId="0" fillId="0" borderId="58" xfId="0" applyFont="1" applyBorder="1" applyAlignment="1">
      <alignment/>
    </xf>
    <xf numFmtId="0" fontId="4" fillId="36" borderId="10" xfId="0" applyFont="1" applyFill="1" applyBorder="1" applyAlignment="1" applyProtection="1">
      <alignment horizontal="center" vertical="center"/>
      <protection hidden="1" locked="0"/>
    </xf>
    <xf numFmtId="0" fontId="0" fillId="36" borderId="27" xfId="0" applyFont="1" applyFill="1" applyBorder="1" applyAlignment="1" applyProtection="1">
      <alignment/>
      <protection hidden="1" locked="0"/>
    </xf>
    <xf numFmtId="0" fontId="0" fillId="36" borderId="58" xfId="0" applyFont="1" applyFill="1" applyBorder="1" applyAlignment="1" applyProtection="1">
      <alignment/>
      <protection hidden="1" locked="0"/>
    </xf>
    <xf numFmtId="0" fontId="15" fillId="35" borderId="71" xfId="0" applyFont="1" applyFill="1" applyBorder="1" applyAlignment="1">
      <alignment horizontal="center"/>
    </xf>
    <xf numFmtId="0" fontId="15" fillId="35" borderId="69" xfId="0" applyFont="1" applyFill="1" applyBorder="1" applyAlignment="1">
      <alignment horizontal="center"/>
    </xf>
    <xf numFmtId="0" fontId="15" fillId="35" borderId="72" xfId="0" applyFont="1" applyFill="1" applyBorder="1" applyAlignment="1">
      <alignment horizontal="center" vertical="top"/>
    </xf>
    <xf numFmtId="0" fontId="15" fillId="35" borderId="73" xfId="0" applyFont="1" applyFill="1" applyBorder="1" applyAlignment="1">
      <alignment horizontal="center" vertical="top"/>
    </xf>
    <xf numFmtId="0" fontId="32" fillId="40" borderId="10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/>
      <protection hidden="1"/>
    </xf>
    <xf numFmtId="0" fontId="0" fillId="0" borderId="58" xfId="0" applyBorder="1" applyAlignment="1" applyProtection="1">
      <alignment/>
      <protection hidden="1"/>
    </xf>
    <xf numFmtId="170" fontId="4" fillId="41" borderId="10" xfId="0" applyNumberFormat="1" applyFont="1" applyFill="1" applyBorder="1" applyAlignment="1" applyProtection="1">
      <alignment horizontal="center" vertical="center"/>
      <protection hidden="1"/>
    </xf>
    <xf numFmtId="170" fontId="4" fillId="41" borderId="27" xfId="0" applyNumberFormat="1" applyFont="1" applyFill="1" applyBorder="1" applyAlignment="1" applyProtection="1">
      <alignment horizontal="center" vertical="center"/>
      <protection hidden="1"/>
    </xf>
    <xf numFmtId="170" fontId="4" fillId="41" borderId="14" xfId="0" applyNumberFormat="1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2" fillId="39" borderId="10" xfId="0" applyFont="1" applyFill="1" applyBorder="1" applyAlignment="1" applyProtection="1">
      <alignment horizontal="center" vertical="center"/>
      <protection hidden="1"/>
    </xf>
    <xf numFmtId="0" fontId="12" fillId="39" borderId="27" xfId="0" applyFont="1" applyFill="1" applyBorder="1" applyAlignment="1" applyProtection="1">
      <alignment horizontal="center" vertical="center"/>
      <protection hidden="1"/>
    </xf>
    <xf numFmtId="0" fontId="12" fillId="39" borderId="14" xfId="0" applyFont="1" applyFill="1" applyBorder="1" applyAlignment="1" applyProtection="1">
      <alignment horizontal="center" vertical="center"/>
      <protection hidden="1"/>
    </xf>
    <xf numFmtId="0" fontId="4" fillId="36" borderId="27" xfId="0" applyFont="1" applyFill="1" applyBorder="1" applyAlignment="1" applyProtection="1">
      <alignment horizontal="center" vertical="center"/>
      <protection hidden="1" locked="0"/>
    </xf>
    <xf numFmtId="0" fontId="4" fillId="36" borderId="14" xfId="0" applyFont="1" applyFill="1" applyBorder="1" applyAlignment="1" applyProtection="1">
      <alignment horizontal="center" vertical="center"/>
      <protection hidden="1" locked="0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15" fillId="35" borderId="0" xfId="0" applyFont="1" applyFill="1" applyBorder="1" applyAlignment="1">
      <alignment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35" borderId="13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5" fillId="41" borderId="13" xfId="0" applyFont="1" applyFill="1" applyBorder="1" applyAlignment="1">
      <alignment horizontal="center"/>
    </xf>
    <xf numFmtId="0" fontId="15" fillId="41" borderId="55" xfId="0" applyFont="1" applyFill="1" applyBorder="1" applyAlignment="1">
      <alignment horizontal="center"/>
    </xf>
    <xf numFmtId="0" fontId="15" fillId="41" borderId="11" xfId="0" applyFont="1" applyFill="1" applyBorder="1" applyAlignment="1">
      <alignment horizontal="center"/>
    </xf>
    <xf numFmtId="0" fontId="15" fillId="44" borderId="13" xfId="0" applyFont="1" applyFill="1" applyBorder="1" applyAlignment="1">
      <alignment horizontal="center"/>
    </xf>
    <xf numFmtId="0" fontId="15" fillId="44" borderId="55" xfId="0" applyFont="1" applyFill="1" applyBorder="1" applyAlignment="1">
      <alignment horizontal="center"/>
    </xf>
    <xf numFmtId="0" fontId="15" fillId="44" borderId="11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5" fillId="35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15" fillId="41" borderId="13" xfId="0" applyFont="1" applyFill="1" applyBorder="1" applyAlignment="1" applyProtection="1">
      <alignment horizontal="center" vertical="center"/>
      <protection/>
    </xf>
    <xf numFmtId="0" fontId="2" fillId="41" borderId="55" xfId="0" applyFont="1" applyFill="1" applyBorder="1" applyAlignment="1">
      <alignment horizontal="center" vertical="center"/>
    </xf>
    <xf numFmtId="0" fontId="2" fillId="41" borderId="11" xfId="0" applyFont="1" applyFill="1" applyBorder="1" applyAlignment="1">
      <alignment horizontal="center" vertical="center"/>
    </xf>
    <xf numFmtId="0" fontId="12" fillId="39" borderId="10" xfId="0" applyFont="1" applyFill="1" applyBorder="1" applyAlignment="1" applyProtection="1">
      <alignment horizontal="center" vertical="center" wrapText="1"/>
      <protection hidden="1"/>
    </xf>
    <xf numFmtId="0" fontId="12" fillId="39" borderId="27" xfId="0" applyFont="1" applyFill="1" applyBorder="1" applyAlignment="1" applyProtection="1">
      <alignment horizontal="center" vertical="center" wrapText="1"/>
      <protection hidden="1"/>
    </xf>
    <xf numFmtId="0" fontId="12" fillId="39" borderId="14" xfId="0" applyFont="1" applyFill="1" applyBorder="1" applyAlignment="1" applyProtection="1">
      <alignment horizontal="center" vertical="center" wrapText="1"/>
      <protection hidden="1"/>
    </xf>
    <xf numFmtId="0" fontId="4" fillId="41" borderId="10" xfId="0" applyFont="1" applyFill="1" applyBorder="1" applyAlignment="1" applyProtection="1">
      <alignment horizontal="center" vertical="center"/>
      <protection hidden="1"/>
    </xf>
    <xf numFmtId="0" fontId="4" fillId="41" borderId="27" xfId="0" applyFont="1" applyFill="1" applyBorder="1" applyAlignment="1" applyProtection="1">
      <alignment horizontal="center" vertical="center"/>
      <protection hidden="1"/>
    </xf>
    <xf numFmtId="0" fontId="4" fillId="41" borderId="14" xfId="0" applyFont="1" applyFill="1" applyBorder="1" applyAlignment="1" applyProtection="1">
      <alignment horizontal="center" vertical="center"/>
      <protection hidden="1"/>
    </xf>
    <xf numFmtId="0" fontId="4" fillId="35" borderId="0" xfId="0" applyFont="1" applyFill="1" applyBorder="1" applyAlignment="1">
      <alignment horizontal="justify"/>
    </xf>
    <xf numFmtId="0" fontId="0" fillId="0" borderId="0" xfId="0" applyBorder="1" applyAlignment="1">
      <alignment/>
    </xf>
    <xf numFmtId="0" fontId="15" fillId="35" borderId="55" xfId="0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0" fontId="22" fillId="35" borderId="14" xfId="0" applyFont="1" applyFill="1" applyBorder="1" applyAlignment="1">
      <alignment horizontal="center" vertical="center" wrapText="1"/>
    </xf>
    <xf numFmtId="0" fontId="15" fillId="35" borderId="10" xfId="0" applyFont="1" applyFill="1" applyBorder="1" applyAlignment="1" applyProtection="1">
      <alignment horizontal="center" vertical="center" wrapText="1"/>
      <protection hidden="1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4" fillId="35" borderId="27" xfId="0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5" fillId="35" borderId="13" xfId="0" applyFont="1" applyFill="1" applyBorder="1" applyAlignment="1" applyProtection="1">
      <alignment horizontal="center" vertical="center" wrapText="1"/>
      <protection hidden="1"/>
    </xf>
    <xf numFmtId="0" fontId="15" fillId="35" borderId="55" xfId="0" applyFont="1" applyFill="1" applyBorder="1" applyAlignment="1" applyProtection="1">
      <alignment horizontal="center" vertical="center" wrapText="1"/>
      <protection hidden="1"/>
    </xf>
    <xf numFmtId="0" fontId="15" fillId="35" borderId="11" xfId="0" applyFont="1" applyFill="1" applyBorder="1" applyAlignment="1" applyProtection="1">
      <alignment horizontal="center" vertical="center" wrapText="1"/>
      <protection hidden="1"/>
    </xf>
    <xf numFmtId="0" fontId="15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5" fillId="35" borderId="12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45" fillId="35" borderId="0" xfId="0" applyFont="1" applyFill="1" applyAlignment="1">
      <alignment horizontal="justify" vertical="justify"/>
    </xf>
    <xf numFmtId="0" fontId="54" fillId="0" borderId="0" xfId="0" applyFont="1" applyAlignment="1">
      <alignment horizontal="justify" vertical="justify"/>
    </xf>
    <xf numFmtId="0" fontId="4" fillId="41" borderId="10" xfId="0" applyFont="1" applyFill="1" applyBorder="1" applyAlignment="1" applyProtection="1">
      <alignment horizontal="center" vertical="center"/>
      <protection/>
    </xf>
    <xf numFmtId="0" fontId="4" fillId="41" borderId="27" xfId="0" applyFont="1" applyFill="1" applyBorder="1" applyAlignment="1" applyProtection="1">
      <alignment horizontal="center" vertical="center"/>
      <protection/>
    </xf>
    <xf numFmtId="0" fontId="4" fillId="41" borderId="14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>
      <alignment horizontal="left"/>
    </xf>
    <xf numFmtId="0" fontId="4" fillId="41" borderId="10" xfId="0" applyFont="1" applyFill="1" applyBorder="1" applyAlignment="1" applyProtection="1">
      <alignment horizontal="center" vertical="center"/>
      <protection locked="0"/>
    </xf>
    <xf numFmtId="0" fontId="4" fillId="41" borderId="27" xfId="0" applyFont="1" applyFill="1" applyBorder="1" applyAlignment="1" applyProtection="1">
      <alignment horizontal="center" vertical="center"/>
      <protection locked="0"/>
    </xf>
    <xf numFmtId="0" fontId="4" fillId="41" borderId="14" xfId="0" applyFont="1" applyFill="1" applyBorder="1" applyAlignment="1" applyProtection="1">
      <alignment horizontal="center" vertical="center"/>
      <protection locked="0"/>
    </xf>
    <xf numFmtId="0" fontId="15" fillId="44" borderId="13" xfId="0" applyFont="1" applyFill="1" applyBorder="1" applyAlignment="1">
      <alignment horizontal="center" vertical="center"/>
    </xf>
    <xf numFmtId="0" fontId="15" fillId="44" borderId="55" xfId="0" applyFont="1" applyFill="1" applyBorder="1" applyAlignment="1">
      <alignment horizontal="center" vertical="center"/>
    </xf>
    <xf numFmtId="0" fontId="15" fillId="44" borderId="11" xfId="0" applyFont="1" applyFill="1" applyBorder="1" applyAlignment="1">
      <alignment horizontal="center" vertical="center"/>
    </xf>
    <xf numFmtId="0" fontId="4" fillId="36" borderId="10" xfId="0" applyFont="1" applyFill="1" applyBorder="1" applyAlignment="1" applyProtection="1">
      <alignment horizontal="center" vertical="center"/>
      <protection hidden="1"/>
    </xf>
    <xf numFmtId="0" fontId="4" fillId="36" borderId="27" xfId="0" applyFont="1" applyFill="1" applyBorder="1" applyAlignment="1" applyProtection="1">
      <alignment horizontal="center" vertical="center"/>
      <protection hidden="1"/>
    </xf>
    <xf numFmtId="0" fontId="4" fillId="36" borderId="14" xfId="0" applyFont="1" applyFill="1" applyBorder="1" applyAlignment="1" applyProtection="1">
      <alignment horizontal="center" vertical="center"/>
      <protection hidden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15" fillId="35" borderId="16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35" borderId="16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36" fillId="0" borderId="0" xfId="0" applyFont="1" applyFill="1" applyBorder="1" applyAlignment="1" applyProtection="1">
      <alignment horizontal="right" vertical="center" wrapText="1"/>
      <protection hidden="1"/>
    </xf>
    <xf numFmtId="0" fontId="33" fillId="0" borderId="13" xfId="0" applyFont="1" applyFill="1" applyBorder="1" applyAlignment="1" applyProtection="1">
      <alignment horizontal="justify" vertical="center"/>
      <protection hidden="1"/>
    </xf>
    <xf numFmtId="0" fontId="33" fillId="0" borderId="55" xfId="0" applyFont="1" applyFill="1" applyBorder="1" applyAlignment="1" applyProtection="1">
      <alignment horizontal="justify" vertical="center"/>
      <protection hidden="1"/>
    </xf>
    <xf numFmtId="0" fontId="33" fillId="0" borderId="11" xfId="0" applyFont="1" applyFill="1" applyBorder="1" applyAlignment="1" applyProtection="1">
      <alignment horizontal="justify" vertical="center"/>
      <protection hidden="1"/>
    </xf>
    <xf numFmtId="0" fontId="16" fillId="0" borderId="13" xfId="0" applyFont="1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170" fontId="16" fillId="0" borderId="13" xfId="0" applyNumberFormat="1" applyFont="1" applyFill="1" applyBorder="1" applyAlignment="1" applyProtection="1">
      <alignment horizontal="center" vertical="center"/>
      <protection hidden="1"/>
    </xf>
    <xf numFmtId="170" fontId="0" fillId="0" borderId="11" xfId="0" applyNumberFormat="1" applyBorder="1" applyAlignment="1">
      <alignment vertical="center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100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16" fillId="0" borderId="13" xfId="0" applyFont="1" applyFill="1" applyBorder="1" applyAlignment="1" applyProtection="1">
      <alignment horizontal="justify" vertical="center"/>
      <protection hidden="1"/>
    </xf>
    <xf numFmtId="0" fontId="0" fillId="0" borderId="55" xfId="0" applyBorder="1" applyAlignment="1">
      <alignment horizontal="justify" vertical="center"/>
    </xf>
    <xf numFmtId="170" fontId="16" fillId="0" borderId="55" xfId="0" applyNumberFormat="1" applyFont="1" applyFill="1" applyBorder="1" applyAlignment="1" applyProtection="1">
      <alignment horizontal="justify" vertical="center"/>
      <protection hidden="1"/>
    </xf>
    <xf numFmtId="170" fontId="0" fillId="0" borderId="11" xfId="0" applyNumberFormat="1" applyBorder="1" applyAlignment="1">
      <alignment/>
    </xf>
    <xf numFmtId="0" fontId="33" fillId="0" borderId="16" xfId="0" applyFont="1" applyFill="1" applyBorder="1" applyAlignment="1" applyProtection="1">
      <alignment horizontal="justify" vertical="center"/>
      <protection hidden="1"/>
    </xf>
    <xf numFmtId="0" fontId="33" fillId="0" borderId="21" xfId="0" applyFont="1" applyFill="1" applyBorder="1" applyAlignment="1" applyProtection="1">
      <alignment horizontal="justify" vertical="center"/>
      <protection hidden="1"/>
    </xf>
    <xf numFmtId="0" fontId="33" fillId="0" borderId="24" xfId="0" applyFont="1" applyFill="1" applyBorder="1" applyAlignment="1" applyProtection="1">
      <alignment horizontal="justify" vertical="center"/>
      <protection hidden="1"/>
    </xf>
    <xf numFmtId="0" fontId="16" fillId="0" borderId="55" xfId="0" applyFont="1" applyFill="1" applyBorder="1" applyAlignment="1" applyProtection="1">
      <alignment horizontal="center" vertical="center"/>
      <protection hidden="1"/>
    </xf>
    <xf numFmtId="0" fontId="16" fillId="0" borderId="11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170" fontId="16" fillId="0" borderId="55" xfId="0" applyNumberFormat="1" applyFont="1" applyFill="1" applyBorder="1" applyAlignment="1" applyProtection="1">
      <alignment horizontal="center" vertical="center"/>
      <protection hidden="1"/>
    </xf>
    <xf numFmtId="3" fontId="19" fillId="0" borderId="55" xfId="0" applyNumberFormat="1" applyFont="1" applyFill="1" applyBorder="1" applyAlignment="1" applyProtection="1">
      <alignment horizontal="center" vertical="center"/>
      <protection hidden="1"/>
    </xf>
    <xf numFmtId="3" fontId="0" fillId="0" borderId="11" xfId="0" applyNumberFormat="1" applyBorder="1" applyAlignment="1">
      <alignment vertical="center"/>
    </xf>
    <xf numFmtId="0" fontId="18" fillId="0" borderId="13" xfId="0" applyFont="1" applyFill="1" applyBorder="1" applyAlignment="1" applyProtection="1">
      <alignment vertical="center"/>
      <protection hidden="1"/>
    </xf>
    <xf numFmtId="0" fontId="0" fillId="0" borderId="55" xfId="0" applyBorder="1" applyAlignment="1">
      <alignment vertical="center"/>
    </xf>
    <xf numFmtId="0" fontId="18" fillId="0" borderId="0" xfId="0" applyFont="1" applyFill="1" applyAlignment="1" applyProtection="1">
      <alignment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3.03.21" xfId="52"/>
    <cellStyle name="Normal_tabla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5"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ill>
        <patternFill>
          <bgColor indexed="22"/>
        </patternFill>
      </fill>
    </dxf>
    <dxf>
      <font>
        <color indexed="2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15</xdr:row>
      <xdr:rowOff>0</xdr:rowOff>
    </xdr:from>
    <xdr:to>
      <xdr:col>12</xdr:col>
      <xdr:colOff>0</xdr:colOff>
      <xdr:row>16</xdr:row>
      <xdr:rowOff>57150</xdr:rowOff>
    </xdr:to>
    <xdr:grpSp>
      <xdr:nvGrpSpPr>
        <xdr:cNvPr id="1" name="B_Act1Mat3" hidden="1"/>
        <xdr:cNvGrpSpPr>
          <a:grpSpLocks/>
        </xdr:cNvGrpSpPr>
      </xdr:nvGrpSpPr>
      <xdr:grpSpPr>
        <a:xfrm>
          <a:off x="4238625" y="2962275"/>
          <a:ext cx="828675" cy="228600"/>
          <a:chOff x="388" y="244"/>
          <a:chExt cx="87" cy="20"/>
        </a:xfrm>
        <a:solidFill>
          <a:srgbClr val="FFFFFF"/>
        </a:solidFill>
      </xdr:grpSpPr>
      <xdr:sp macro="[0]!act1_mat3">
        <xdr:nvSpPr>
          <xdr:cNvPr id="2" name="Rectangle 142" hidden="1"/>
          <xdr:cNvSpPr>
            <a:spLocks/>
          </xdr:cNvSpPr>
        </xdr:nvSpPr>
        <xdr:spPr>
          <a:xfrm>
            <a:off x="388" y="244"/>
            <a:ext cx="87" cy="20"/>
          </a:xfrm>
          <a:prstGeom prst="rect">
            <a:avLst/>
          </a:prstGeom>
          <a:solidFill>
            <a:srgbClr val="FF66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act1_mat3">
        <xdr:nvSpPr>
          <xdr:cNvPr id="3" name="Rectangle 143" hidden="1"/>
          <xdr:cNvSpPr>
            <a:spLocks/>
          </xdr:cNvSpPr>
        </xdr:nvSpPr>
        <xdr:spPr>
          <a:xfrm>
            <a:off x="388" y="244"/>
            <a:ext cx="8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act1_mat3">
        <xdr:nvSpPr>
          <xdr:cNvPr id="4" name="Text Box 144" hidden="1"/>
          <xdr:cNvSpPr txBox="1">
            <a:spLocks noChangeArrowheads="1"/>
          </xdr:cNvSpPr>
        </xdr:nvSpPr>
        <xdr:spPr>
          <a:xfrm>
            <a:off x="390" y="246"/>
            <a:ext cx="83" cy="18"/>
          </a:xfrm>
          <a:prstGeom prst="rect">
            <a:avLst/>
          </a:prstGeom>
          <a:solidFill>
            <a:srgbClr val="FFCC99"/>
          </a:solidFill>
          <a:ln w="2540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Materia3</a:t>
            </a:r>
          </a:p>
        </xdr:txBody>
      </xdr:sp>
    </xdr:grpSp>
    <xdr:clientData/>
  </xdr:twoCellAnchor>
  <xdr:twoCellAnchor>
    <xdr:from>
      <xdr:col>12</xdr:col>
      <xdr:colOff>57150</xdr:colOff>
      <xdr:row>15</xdr:row>
      <xdr:rowOff>0</xdr:rowOff>
    </xdr:from>
    <xdr:to>
      <xdr:col>13</xdr:col>
      <xdr:colOff>790575</xdr:colOff>
      <xdr:row>16</xdr:row>
      <xdr:rowOff>57150</xdr:rowOff>
    </xdr:to>
    <xdr:grpSp>
      <xdr:nvGrpSpPr>
        <xdr:cNvPr id="5" name="B_Act1Mat4" hidden="1"/>
        <xdr:cNvGrpSpPr>
          <a:grpSpLocks/>
        </xdr:cNvGrpSpPr>
      </xdr:nvGrpSpPr>
      <xdr:grpSpPr>
        <a:xfrm>
          <a:off x="5124450" y="2962275"/>
          <a:ext cx="828675" cy="228600"/>
          <a:chOff x="481" y="244"/>
          <a:chExt cx="87" cy="20"/>
        </a:xfrm>
        <a:solidFill>
          <a:srgbClr val="FFFFFF"/>
        </a:solidFill>
      </xdr:grpSpPr>
      <xdr:sp macro="[0]!act1_mat4">
        <xdr:nvSpPr>
          <xdr:cNvPr id="6" name="Rectangle 146" hidden="1"/>
          <xdr:cNvSpPr>
            <a:spLocks/>
          </xdr:cNvSpPr>
        </xdr:nvSpPr>
        <xdr:spPr>
          <a:xfrm>
            <a:off x="481" y="244"/>
            <a:ext cx="87" cy="20"/>
          </a:xfrm>
          <a:prstGeom prst="rect">
            <a:avLst/>
          </a:prstGeom>
          <a:solidFill>
            <a:srgbClr val="FF66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act1_mat4">
        <xdr:nvSpPr>
          <xdr:cNvPr id="7" name="Rectangle 147" hidden="1"/>
          <xdr:cNvSpPr>
            <a:spLocks/>
          </xdr:cNvSpPr>
        </xdr:nvSpPr>
        <xdr:spPr>
          <a:xfrm>
            <a:off x="481" y="244"/>
            <a:ext cx="8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macro="[0]!act1_mat4">
        <xdr:nvSpPr>
          <xdr:cNvPr id="8" name="Text Box 148" hidden="1"/>
          <xdr:cNvSpPr txBox="1">
            <a:spLocks noChangeArrowheads="1"/>
          </xdr:cNvSpPr>
        </xdr:nvSpPr>
        <xdr:spPr>
          <a:xfrm>
            <a:off x="483" y="246"/>
            <a:ext cx="83" cy="18"/>
          </a:xfrm>
          <a:prstGeom prst="rect">
            <a:avLst/>
          </a:prstGeom>
          <a:solidFill>
            <a:srgbClr val="FFCC99"/>
          </a:solidFill>
          <a:ln w="25400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Materia4</a:t>
            </a:r>
          </a:p>
        </xdr:txBody>
      </xdr:sp>
    </xdr:grpSp>
    <xdr:clientData/>
  </xdr:twoCellAnchor>
  <xdr:twoCellAnchor>
    <xdr:from>
      <xdr:col>11</xdr:col>
      <xdr:colOff>0</xdr:colOff>
      <xdr:row>17</xdr:row>
      <xdr:rowOff>38100</xdr:rowOff>
    </xdr:from>
    <xdr:to>
      <xdr:col>17</xdr:col>
      <xdr:colOff>28575</xdr:colOff>
      <xdr:row>17</xdr:row>
      <xdr:rowOff>38100</xdr:rowOff>
    </xdr:to>
    <xdr:sp>
      <xdr:nvSpPr>
        <xdr:cNvPr id="9" name="Line 231"/>
        <xdr:cNvSpPr>
          <a:spLocks/>
        </xdr:cNvSpPr>
      </xdr:nvSpPr>
      <xdr:spPr>
        <a:xfrm flipV="1">
          <a:off x="4238625" y="3352800"/>
          <a:ext cx="3514725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23</xdr:row>
      <xdr:rowOff>28575</xdr:rowOff>
    </xdr:from>
    <xdr:to>
      <xdr:col>8</xdr:col>
      <xdr:colOff>0</xdr:colOff>
      <xdr:row>23</xdr:row>
      <xdr:rowOff>28575</xdr:rowOff>
    </xdr:to>
    <xdr:sp>
      <xdr:nvSpPr>
        <xdr:cNvPr id="10" name="Line 232"/>
        <xdr:cNvSpPr>
          <a:spLocks/>
        </xdr:cNvSpPr>
      </xdr:nvSpPr>
      <xdr:spPr>
        <a:xfrm flipV="1">
          <a:off x="295275" y="4305300"/>
          <a:ext cx="3638550" cy="0"/>
        </a:xfrm>
        <a:prstGeom prst="line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60</xdr:row>
      <xdr:rowOff>76200</xdr:rowOff>
    </xdr:from>
    <xdr:to>
      <xdr:col>8</xdr:col>
      <xdr:colOff>390525</xdr:colOff>
      <xdr:row>60</xdr:row>
      <xdr:rowOff>76200</xdr:rowOff>
    </xdr:to>
    <xdr:sp>
      <xdr:nvSpPr>
        <xdr:cNvPr id="1" name="Line 28"/>
        <xdr:cNvSpPr>
          <a:spLocks/>
        </xdr:cNvSpPr>
      </xdr:nvSpPr>
      <xdr:spPr>
        <a:xfrm flipV="1">
          <a:off x="66675" y="7772400"/>
          <a:ext cx="6962775" cy="0"/>
        </a:xfrm>
        <a:prstGeom prst="line">
          <a:avLst/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57150</xdr:rowOff>
    </xdr:from>
    <xdr:to>
      <xdr:col>8</xdr:col>
      <xdr:colOff>95250</xdr:colOff>
      <xdr:row>47</xdr:row>
      <xdr:rowOff>57150</xdr:rowOff>
    </xdr:to>
    <xdr:sp>
      <xdr:nvSpPr>
        <xdr:cNvPr id="1" name="Line 11"/>
        <xdr:cNvSpPr>
          <a:spLocks/>
        </xdr:cNvSpPr>
      </xdr:nvSpPr>
      <xdr:spPr>
        <a:xfrm>
          <a:off x="0" y="8867775"/>
          <a:ext cx="6791325" cy="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EB%20CC\Formularios_IVE\2015_formularios%20exclusion\IVE02_ol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"/>
      <sheetName val="Resumen"/>
      <sheetName val="Emisiones Combustión"/>
      <sheetName val="Emisiones Proceso Cementeras"/>
      <sheetName val="Emisiones Cal"/>
      <sheetName val="Emisiones Proceso"/>
      <sheetName val="Emisiones Proceso Agregado"/>
      <sheetName val="Emisiones Proceso Vídrio-Fritas"/>
      <sheetName val="Inform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H64"/>
  <sheetViews>
    <sheetView showGridLines="0" showRowColHeaders="0" tabSelected="1" zoomScalePageLayoutView="0" workbookViewId="0" topLeftCell="A1">
      <selection activeCell="J7" sqref="J7"/>
    </sheetView>
  </sheetViews>
  <sheetFormatPr defaultColWidth="11.421875" defaultRowHeight="12.75"/>
  <cols>
    <col min="1" max="1" width="2.8515625" style="49" customWidth="1"/>
    <col min="2" max="2" width="1.8515625" style="49" customWidth="1"/>
    <col min="3" max="3" width="12.00390625" style="49" customWidth="1"/>
    <col min="4" max="4" width="1.28515625" style="49" customWidth="1"/>
    <col min="5" max="5" width="15.00390625" style="49" customWidth="1"/>
    <col min="6" max="6" width="1.28515625" style="49" customWidth="1"/>
    <col min="7" max="7" width="12.00390625" style="49" customWidth="1"/>
    <col min="8" max="8" width="12.7109375" style="49" customWidth="1"/>
    <col min="9" max="10" width="1.421875" style="49" customWidth="1"/>
    <col min="11" max="11" width="1.7109375" style="49" customWidth="1"/>
    <col min="12" max="12" width="12.421875" style="49" customWidth="1"/>
    <col min="13" max="13" width="1.421875" style="49" customWidth="1"/>
    <col min="14" max="14" width="12.28125" style="49" customWidth="1"/>
    <col min="15" max="15" width="3.57421875" style="49" customWidth="1"/>
    <col min="16" max="16" width="14.28125" style="49" customWidth="1"/>
    <col min="17" max="17" width="8.28125" style="49" customWidth="1"/>
    <col min="18" max="18" width="1.7109375" style="49" customWidth="1"/>
    <col min="19" max="19" width="2.8515625" style="49" customWidth="1"/>
    <col min="20" max="20" width="2.57421875" style="49" customWidth="1"/>
    <col min="21" max="21" width="3.140625" style="49" customWidth="1"/>
    <col min="22" max="22" width="2.421875" style="49" customWidth="1"/>
    <col min="23" max="23" width="2.8515625" style="49" customWidth="1"/>
    <col min="24" max="24" width="5.00390625" style="49" customWidth="1"/>
    <col min="25" max="25" width="4.28125" style="49" customWidth="1"/>
    <col min="26" max="26" width="3.8515625" style="136" customWidth="1"/>
    <col min="27" max="27" width="5.00390625" style="120" hidden="1" customWidth="1"/>
    <col min="28" max="28" width="9.421875" style="120" hidden="1" customWidth="1"/>
    <col min="29" max="34" width="5.7109375" style="120" hidden="1" customWidth="1"/>
    <col min="35" max="52" width="5.7109375" style="49" hidden="1" customWidth="1"/>
    <col min="53" max="80" width="0" style="49" hidden="1" customWidth="1"/>
    <col min="81" max="16384" width="11.421875" style="49" customWidth="1"/>
  </cols>
  <sheetData>
    <row r="1" spans="2:34" s="46" customFormat="1" ht="39" customHeight="1">
      <c r="B1" s="47"/>
      <c r="C1" s="333" t="s">
        <v>134</v>
      </c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S1" s="47"/>
      <c r="W1" s="48"/>
      <c r="Z1" s="137" t="s">
        <v>109</v>
      </c>
      <c r="AA1" s="61">
        <v>2</v>
      </c>
      <c r="AB1" s="61" t="str">
        <f>INDEX(TRANGO,MATCH($AA$1,TRANGO_FILAS,),MATCH("Tipo",TRANGO_CAMPOS,))</f>
        <v>B</v>
      </c>
      <c r="AC1" s="148">
        <f>L5</f>
        <v>0</v>
      </c>
      <c r="AD1" s="149">
        <f>SUBSTITUTE(L5,"/","_")</f>
      </c>
      <c r="AE1" s="119"/>
      <c r="AF1" s="119"/>
      <c r="AG1" s="119"/>
      <c r="AH1" s="119"/>
    </row>
    <row r="2" spans="2:29" ht="12.75"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W2" s="51"/>
      <c r="Z2" s="105" t="s">
        <v>91</v>
      </c>
      <c r="AA2" s="62">
        <v>1</v>
      </c>
      <c r="AB2" s="237" t="str">
        <f>INDEX(TSECTOR,MATCH($AA$2,TSECTOR_FILAS,),MATCH("Tipo",TSECTOR_CAMPOS,))</f>
        <v>Vacío</v>
      </c>
      <c r="AC2" s="51"/>
    </row>
    <row r="3" spans="2:29" ht="14.25" customHeight="1">
      <c r="B3" s="50"/>
      <c r="C3" s="52" t="s">
        <v>108</v>
      </c>
      <c r="D3" s="50"/>
      <c r="E3" s="50"/>
      <c r="F3" s="50"/>
      <c r="G3" s="50"/>
      <c r="H3" s="50"/>
      <c r="I3" s="50"/>
      <c r="J3" s="50"/>
      <c r="K3" s="50"/>
      <c r="L3" s="52" t="s">
        <v>210</v>
      </c>
      <c r="M3" s="336"/>
      <c r="N3" s="337"/>
      <c r="O3" s="337"/>
      <c r="P3" s="337"/>
      <c r="Q3" s="338"/>
      <c r="R3" s="50"/>
      <c r="S3" s="50"/>
      <c r="Z3" s="135"/>
      <c r="AA3" s="147">
        <v>2</v>
      </c>
      <c r="AB3" s="62"/>
      <c r="AC3" s="51"/>
    </row>
    <row r="4" spans="2:29" ht="12.75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O4" s="50"/>
      <c r="P4" s="50"/>
      <c r="Q4" s="50"/>
      <c r="R4" s="50"/>
      <c r="S4" s="50"/>
      <c r="Z4" s="135"/>
      <c r="AA4" s="147">
        <v>1</v>
      </c>
      <c r="AB4" s="62"/>
      <c r="AC4" s="51"/>
    </row>
    <row r="5" spans="2:29" ht="13.5" customHeight="1">
      <c r="B5" s="50"/>
      <c r="C5" s="52" t="s">
        <v>109</v>
      </c>
      <c r="D5" s="50"/>
      <c r="E5" s="50"/>
      <c r="F5" s="50"/>
      <c r="G5" s="50"/>
      <c r="H5" s="145" t="s">
        <v>356</v>
      </c>
      <c r="I5" s="50"/>
      <c r="J5" s="339">
        <v>2020</v>
      </c>
      <c r="K5" s="340"/>
      <c r="L5" s="341"/>
      <c r="M5" s="54"/>
      <c r="N5" s="71" t="s">
        <v>128</v>
      </c>
      <c r="O5" s="50"/>
      <c r="P5" s="334"/>
      <c r="Q5" s="335"/>
      <c r="R5" s="50"/>
      <c r="S5" s="50"/>
      <c r="Z5" s="135"/>
      <c r="AA5" s="147">
        <v>1</v>
      </c>
      <c r="AB5" s="62"/>
      <c r="AC5" s="51"/>
    </row>
    <row r="6" spans="2:29" ht="40.5" customHeight="1"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Z6" s="135"/>
      <c r="AA6" s="225">
        <v>1</v>
      </c>
      <c r="AB6" s="51"/>
      <c r="AC6" s="51"/>
    </row>
    <row r="7" spans="3:29" ht="12.75" customHeight="1">
      <c r="C7" s="321" t="s">
        <v>366</v>
      </c>
      <c r="E7" s="322"/>
      <c r="F7" s="323"/>
      <c r="N7" s="328" t="s">
        <v>365</v>
      </c>
      <c r="O7" s="329"/>
      <c r="P7" s="326"/>
      <c r="Q7" s="327"/>
      <c r="R7" s="318"/>
      <c r="S7" s="50"/>
      <c r="Z7" s="135"/>
      <c r="AA7" s="51"/>
      <c r="AB7" s="51"/>
      <c r="AC7" s="51"/>
    </row>
    <row r="8" spans="16:29" ht="13.5" thickBot="1">
      <c r="P8" s="317"/>
      <c r="Q8" s="317"/>
      <c r="S8" s="50"/>
      <c r="Z8" s="135"/>
      <c r="AA8" s="51"/>
      <c r="AB8" s="51"/>
      <c r="AC8" s="51"/>
    </row>
    <row r="9" spans="2:29" ht="9.75" customHeight="1">
      <c r="B9" s="182"/>
      <c r="C9" s="183"/>
      <c r="D9" s="183"/>
      <c r="E9" s="183"/>
      <c r="F9" s="183"/>
      <c r="G9" s="183"/>
      <c r="H9" s="183"/>
      <c r="I9" s="184"/>
      <c r="J9" s="50"/>
      <c r="K9" s="182"/>
      <c r="L9" s="183"/>
      <c r="M9" s="183"/>
      <c r="N9" s="183"/>
      <c r="O9" s="183"/>
      <c r="P9" s="183"/>
      <c r="Q9" s="183"/>
      <c r="R9" s="184"/>
      <c r="S9" s="50"/>
      <c r="Z9" s="135"/>
      <c r="AA9" s="51"/>
      <c r="AB9" s="51"/>
      <c r="AC9" s="51"/>
    </row>
    <row r="10" spans="2:29" ht="13.5" customHeight="1">
      <c r="B10" s="185"/>
      <c r="C10" s="181" t="s">
        <v>110</v>
      </c>
      <c r="D10" s="50"/>
      <c r="E10" s="50"/>
      <c r="F10" s="50"/>
      <c r="G10" s="50"/>
      <c r="H10" s="50"/>
      <c r="I10" s="186"/>
      <c r="J10" s="50"/>
      <c r="K10" s="185"/>
      <c r="L10" s="181" t="s">
        <v>113</v>
      </c>
      <c r="M10" s="50"/>
      <c r="N10" s="50"/>
      <c r="O10" s="50"/>
      <c r="P10" s="50"/>
      <c r="Q10" s="50"/>
      <c r="R10" s="186"/>
      <c r="S10" s="50"/>
      <c r="Z10" s="135"/>
      <c r="AA10" s="51"/>
      <c r="AB10" s="51"/>
      <c r="AC10" s="51"/>
    </row>
    <row r="11" spans="2:29" ht="6.75" customHeight="1">
      <c r="B11" s="185"/>
      <c r="C11" s="50"/>
      <c r="D11" s="50"/>
      <c r="E11" s="50"/>
      <c r="F11" s="50"/>
      <c r="G11" s="50"/>
      <c r="H11" s="50"/>
      <c r="I11" s="186"/>
      <c r="J11" s="50"/>
      <c r="K11" s="185"/>
      <c r="L11" s="50"/>
      <c r="M11" s="50"/>
      <c r="N11" s="50"/>
      <c r="O11" s="50"/>
      <c r="P11" s="50"/>
      <c r="Q11" s="50"/>
      <c r="R11" s="186"/>
      <c r="S11" s="50"/>
      <c r="Z11" s="135"/>
      <c r="AA11" s="51"/>
      <c r="AB11" s="51"/>
      <c r="AC11" s="51"/>
    </row>
    <row r="12" spans="2:29" ht="14.25">
      <c r="B12" s="185"/>
      <c r="C12" s="53" t="s">
        <v>111</v>
      </c>
      <c r="D12" s="50"/>
      <c r="E12" s="354"/>
      <c r="F12" s="350"/>
      <c r="G12" s="350"/>
      <c r="H12" s="351"/>
      <c r="I12" s="186"/>
      <c r="J12" s="50"/>
      <c r="K12" s="185"/>
      <c r="L12" s="53" t="s">
        <v>114</v>
      </c>
      <c r="M12" s="349"/>
      <c r="N12" s="350"/>
      <c r="O12" s="350"/>
      <c r="P12" s="350"/>
      <c r="Q12" s="351"/>
      <c r="R12" s="186"/>
      <c r="S12" s="50"/>
      <c r="Z12" s="135"/>
      <c r="AA12" s="51"/>
      <c r="AB12" s="51"/>
      <c r="AC12" s="51"/>
    </row>
    <row r="13" spans="2:29" ht="7.5" customHeight="1">
      <c r="B13" s="185"/>
      <c r="C13" s="50"/>
      <c r="D13" s="50"/>
      <c r="E13" s="50"/>
      <c r="F13" s="50"/>
      <c r="G13" s="50"/>
      <c r="H13" s="50"/>
      <c r="I13" s="186"/>
      <c r="J13" s="50"/>
      <c r="K13" s="185"/>
      <c r="L13" s="50"/>
      <c r="M13" s="50"/>
      <c r="N13" s="50"/>
      <c r="O13" s="50"/>
      <c r="P13" s="50"/>
      <c r="Q13" s="50"/>
      <c r="R13" s="186"/>
      <c r="S13" s="50"/>
      <c r="Z13" s="135"/>
      <c r="AA13" s="51"/>
      <c r="AB13" s="51"/>
      <c r="AC13" s="51"/>
    </row>
    <row r="14" spans="1:29" ht="15">
      <c r="A14" s="50"/>
      <c r="B14" s="185"/>
      <c r="C14" s="50"/>
      <c r="D14" s="50"/>
      <c r="E14" s="50"/>
      <c r="F14" s="50"/>
      <c r="G14" s="50"/>
      <c r="H14" s="50"/>
      <c r="I14" s="186"/>
      <c r="J14" s="50"/>
      <c r="K14" s="185"/>
      <c r="L14" s="50"/>
      <c r="M14" s="50"/>
      <c r="N14" s="50"/>
      <c r="O14" s="50"/>
      <c r="P14" s="180"/>
      <c r="Q14" s="50"/>
      <c r="R14" s="186"/>
      <c r="S14" s="50"/>
      <c r="Z14" s="135"/>
      <c r="AA14" s="51"/>
      <c r="AB14" s="51"/>
      <c r="AC14" s="51"/>
    </row>
    <row r="15" spans="2:29" ht="7.5" customHeight="1">
      <c r="B15" s="185"/>
      <c r="C15" s="50"/>
      <c r="D15" s="50"/>
      <c r="E15" s="50"/>
      <c r="F15" s="50"/>
      <c r="G15" s="50"/>
      <c r="H15" s="50"/>
      <c r="I15" s="186"/>
      <c r="J15" s="50"/>
      <c r="K15" s="185"/>
      <c r="L15" s="50"/>
      <c r="M15" s="50"/>
      <c r="N15" s="50"/>
      <c r="O15" s="50"/>
      <c r="P15" s="50"/>
      <c r="Q15" s="50"/>
      <c r="R15" s="186"/>
      <c r="S15" s="50"/>
      <c r="Z15" s="135"/>
      <c r="AA15" s="51"/>
      <c r="AB15" s="51"/>
      <c r="AC15" s="51"/>
    </row>
    <row r="16" spans="2:19" ht="13.5" customHeight="1">
      <c r="B16" s="185"/>
      <c r="C16" s="50"/>
      <c r="D16" s="50"/>
      <c r="E16" s="50"/>
      <c r="F16" s="50"/>
      <c r="G16" s="50"/>
      <c r="H16" s="50"/>
      <c r="I16" s="186"/>
      <c r="J16" s="50"/>
      <c r="K16" s="185"/>
      <c r="L16" s="50"/>
      <c r="M16" s="50"/>
      <c r="N16" s="50"/>
      <c r="O16" s="50"/>
      <c r="P16" s="50"/>
      <c r="Q16" s="50"/>
      <c r="R16" s="186"/>
      <c r="S16" s="50"/>
    </row>
    <row r="17" spans="2:19" ht="14.25" customHeight="1">
      <c r="B17" s="185"/>
      <c r="C17" s="50"/>
      <c r="D17" s="50"/>
      <c r="E17" s="50"/>
      <c r="F17" s="50"/>
      <c r="G17" s="50"/>
      <c r="H17" s="50"/>
      <c r="I17" s="186"/>
      <c r="J17" s="50"/>
      <c r="K17" s="185"/>
      <c r="L17" s="50"/>
      <c r="M17" s="50"/>
      <c r="N17" s="50"/>
      <c r="O17" s="50"/>
      <c r="P17" s="50"/>
      <c r="Q17" s="50"/>
      <c r="R17" s="186"/>
      <c r="S17" s="50"/>
    </row>
    <row r="18" spans="2:19" ht="12.75" customHeight="1">
      <c r="B18" s="185"/>
      <c r="C18" s="53" t="s">
        <v>112</v>
      </c>
      <c r="D18" s="50"/>
      <c r="E18" s="349"/>
      <c r="F18" s="350"/>
      <c r="G18" s="350"/>
      <c r="H18" s="351"/>
      <c r="I18" s="186"/>
      <c r="J18" s="50"/>
      <c r="K18" s="185"/>
      <c r="L18" s="54"/>
      <c r="M18" s="55"/>
      <c r="N18" s="55"/>
      <c r="O18" s="55"/>
      <c r="P18" s="55"/>
      <c r="Q18" s="55"/>
      <c r="R18" s="186"/>
      <c r="S18" s="50"/>
    </row>
    <row r="19" spans="2:19" ht="8.25" customHeight="1">
      <c r="B19" s="185"/>
      <c r="C19" s="50"/>
      <c r="D19" s="50"/>
      <c r="E19" s="50"/>
      <c r="F19" s="50"/>
      <c r="G19" s="50"/>
      <c r="H19" s="50"/>
      <c r="I19" s="186"/>
      <c r="J19" s="50"/>
      <c r="K19" s="185"/>
      <c r="L19" s="56"/>
      <c r="M19" s="56"/>
      <c r="N19" s="56"/>
      <c r="O19" s="56"/>
      <c r="P19" s="56"/>
      <c r="Q19" s="56"/>
      <c r="R19" s="186"/>
      <c r="S19" s="50"/>
    </row>
    <row r="20" spans="2:19" ht="12.75" customHeight="1" thickBot="1">
      <c r="B20" s="185"/>
      <c r="C20" s="50"/>
      <c r="D20" s="50"/>
      <c r="E20" s="50"/>
      <c r="F20" s="50"/>
      <c r="G20" s="50"/>
      <c r="H20" s="50"/>
      <c r="I20" s="186"/>
      <c r="J20" s="50"/>
      <c r="K20" s="187"/>
      <c r="L20" s="192"/>
      <c r="M20" s="190"/>
      <c r="N20" s="193"/>
      <c r="O20" s="190"/>
      <c r="P20" s="193"/>
      <c r="Q20" s="190"/>
      <c r="R20" s="189"/>
      <c r="S20" s="50"/>
    </row>
    <row r="21" spans="2:19" ht="9" customHeight="1" thickBot="1">
      <c r="B21" s="185"/>
      <c r="C21" s="50"/>
      <c r="D21" s="50"/>
      <c r="E21" s="50"/>
      <c r="F21" s="50"/>
      <c r="G21" s="50"/>
      <c r="H21" s="50"/>
      <c r="I21" s="186"/>
      <c r="J21" s="50"/>
      <c r="K21" s="50"/>
      <c r="L21" s="56"/>
      <c r="M21" s="56"/>
      <c r="N21" s="56"/>
      <c r="O21" s="56"/>
      <c r="P21" s="56"/>
      <c r="Q21" s="56"/>
      <c r="R21" s="50"/>
      <c r="S21" s="50"/>
    </row>
    <row r="22" spans="2:19" ht="14.25" customHeight="1">
      <c r="B22" s="185"/>
      <c r="C22" s="50"/>
      <c r="D22" s="50"/>
      <c r="E22" s="50"/>
      <c r="F22" s="50"/>
      <c r="G22" s="50"/>
      <c r="H22" s="50"/>
      <c r="I22" s="186"/>
      <c r="J22" s="50"/>
      <c r="K22" s="182"/>
      <c r="L22" s="183"/>
      <c r="M22" s="183"/>
      <c r="N22" s="183"/>
      <c r="O22" s="183"/>
      <c r="P22" s="183"/>
      <c r="Q22" s="191"/>
      <c r="R22" s="184"/>
      <c r="S22" s="50"/>
    </row>
    <row r="23" spans="2:19" ht="18.75">
      <c r="B23" s="185"/>
      <c r="C23" s="50"/>
      <c r="D23" s="50"/>
      <c r="E23" s="50"/>
      <c r="F23" s="50"/>
      <c r="G23" s="50"/>
      <c r="H23" s="50"/>
      <c r="I23" s="186"/>
      <c r="J23" s="50"/>
      <c r="K23" s="185"/>
      <c r="L23" s="194" t="s">
        <v>119</v>
      </c>
      <c r="M23" s="56"/>
      <c r="N23" s="57"/>
      <c r="O23" s="56"/>
      <c r="P23" s="57"/>
      <c r="Q23" s="56"/>
      <c r="R23" s="186"/>
      <c r="S23" s="50"/>
    </row>
    <row r="24" spans="2:19" ht="12.75">
      <c r="B24" s="185"/>
      <c r="C24" s="50"/>
      <c r="D24" s="50"/>
      <c r="E24" s="50"/>
      <c r="F24" s="50"/>
      <c r="G24" s="50"/>
      <c r="H24" s="50"/>
      <c r="I24" s="186"/>
      <c r="J24" s="50"/>
      <c r="K24" s="185"/>
      <c r="L24" s="50"/>
      <c r="M24" s="50"/>
      <c r="N24" s="50"/>
      <c r="O24" s="50"/>
      <c r="P24" s="50"/>
      <c r="Q24" s="50"/>
      <c r="R24" s="186"/>
      <c r="S24" s="50"/>
    </row>
    <row r="25" spans="2:18" ht="12.75">
      <c r="B25" s="185"/>
      <c r="C25" s="50"/>
      <c r="D25" s="50"/>
      <c r="E25" s="50"/>
      <c r="F25" s="50"/>
      <c r="G25" s="50"/>
      <c r="H25" s="50"/>
      <c r="I25" s="186"/>
      <c r="J25" s="50"/>
      <c r="K25" s="185"/>
      <c r="L25" s="50"/>
      <c r="M25" s="50"/>
      <c r="N25" s="50"/>
      <c r="O25" s="50"/>
      <c r="P25" s="50"/>
      <c r="Q25" s="50"/>
      <c r="R25" s="186"/>
    </row>
    <row r="26" spans="2:34" ht="13.5" thickBot="1">
      <c r="B26" s="187"/>
      <c r="C26" s="188"/>
      <c r="D26" s="188"/>
      <c r="E26" s="188"/>
      <c r="F26" s="188"/>
      <c r="G26" s="188"/>
      <c r="H26" s="188"/>
      <c r="I26" s="189"/>
      <c r="K26" s="187"/>
      <c r="L26" s="188"/>
      <c r="M26" s="188"/>
      <c r="N26" s="188"/>
      <c r="O26" s="188"/>
      <c r="P26" s="188"/>
      <c r="Q26" s="188"/>
      <c r="R26" s="189"/>
      <c r="S26" s="50"/>
      <c r="W26" s="136"/>
      <c r="X26" s="120"/>
      <c r="Y26" s="120"/>
      <c r="Z26" s="120"/>
      <c r="AF26" s="49"/>
      <c r="AG26" s="49"/>
      <c r="AH26" s="49"/>
    </row>
    <row r="27" spans="19:34" ht="12.75">
      <c r="S27" s="50"/>
      <c r="W27" s="136"/>
      <c r="X27" s="120"/>
      <c r="Y27" s="120"/>
      <c r="Z27" s="120"/>
      <c r="AF27" s="49"/>
      <c r="AG27" s="49"/>
      <c r="AH27" s="49"/>
    </row>
    <row r="28" spans="1:34" ht="16.5" customHeight="1">
      <c r="A28" s="50"/>
      <c r="B28" s="50"/>
      <c r="C28" s="181"/>
      <c r="D28" s="50"/>
      <c r="E28" s="50"/>
      <c r="F28" s="50"/>
      <c r="G28" s="50"/>
      <c r="H28" s="316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W28" s="136"/>
      <c r="X28" s="120"/>
      <c r="Y28" s="120"/>
      <c r="Z28" s="120"/>
      <c r="AF28" s="49"/>
      <c r="AG28" s="49"/>
      <c r="AH28" s="49"/>
    </row>
    <row r="29" spans="1:34" ht="9.7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W29" s="136"/>
      <c r="X29" s="120"/>
      <c r="Y29" s="120"/>
      <c r="Z29" s="120"/>
      <c r="AF29" s="49"/>
      <c r="AG29" s="49"/>
      <c r="AH29" s="49"/>
    </row>
    <row r="30" spans="1:19" ht="15.75" customHeight="1">
      <c r="A30" s="249"/>
      <c r="B30" s="50"/>
      <c r="C30" s="342"/>
      <c r="D30" s="324"/>
      <c r="E30" s="324"/>
      <c r="F30" s="324"/>
      <c r="G30" s="292"/>
      <c r="H30" s="343"/>
      <c r="I30" s="344"/>
      <c r="J30" s="347"/>
      <c r="K30" s="348"/>
      <c r="L30" s="348"/>
      <c r="M30" s="352"/>
      <c r="N30" s="353"/>
      <c r="O30" s="353"/>
      <c r="P30" s="285"/>
      <c r="Q30" s="252"/>
      <c r="R30" s="50"/>
      <c r="S30" s="50"/>
    </row>
    <row r="31" spans="1:27" ht="16.5" customHeight="1">
      <c r="A31" s="50"/>
      <c r="B31" s="50"/>
      <c r="C31" s="345"/>
      <c r="D31" s="346"/>
      <c r="E31" s="346"/>
      <c r="F31" s="346"/>
      <c r="G31" s="293"/>
      <c r="H31" s="331"/>
      <c r="I31" s="331"/>
      <c r="J31" s="331"/>
      <c r="K31" s="331"/>
      <c r="L31" s="331"/>
      <c r="M31" s="331"/>
      <c r="N31" s="332"/>
      <c r="O31" s="332"/>
      <c r="P31" s="287"/>
      <c r="Q31" s="50"/>
      <c r="R31" s="50"/>
      <c r="S31" s="50"/>
      <c r="AA31" s="255">
        <v>1</v>
      </c>
    </row>
    <row r="32" spans="1:27" ht="16.5" customHeight="1">
      <c r="A32" s="50"/>
      <c r="B32" s="50"/>
      <c r="C32" s="324"/>
      <c r="D32" s="325"/>
      <c r="E32" s="325"/>
      <c r="F32" s="325"/>
      <c r="G32" s="293"/>
      <c r="H32" s="331"/>
      <c r="I32" s="331"/>
      <c r="J32" s="331"/>
      <c r="K32" s="331"/>
      <c r="L32" s="331"/>
      <c r="M32" s="331"/>
      <c r="N32" s="331"/>
      <c r="O32" s="332"/>
      <c r="P32" s="287"/>
      <c r="Q32" s="50"/>
      <c r="R32" s="50"/>
      <c r="S32" s="50"/>
      <c r="AA32" s="255">
        <v>1</v>
      </c>
    </row>
    <row r="33" spans="1:27" ht="16.5" customHeight="1">
      <c r="A33" s="50"/>
      <c r="B33" s="50"/>
      <c r="C33" s="324"/>
      <c r="D33" s="325"/>
      <c r="E33" s="325"/>
      <c r="F33" s="325"/>
      <c r="G33" s="293"/>
      <c r="H33" s="331"/>
      <c r="I33" s="331"/>
      <c r="J33" s="331"/>
      <c r="K33" s="331"/>
      <c r="L33" s="331"/>
      <c r="M33" s="331"/>
      <c r="N33" s="331"/>
      <c r="O33" s="332"/>
      <c r="P33" s="287"/>
      <c r="Q33" s="50"/>
      <c r="R33" s="50"/>
      <c r="S33" s="50"/>
      <c r="AA33" s="255">
        <v>1</v>
      </c>
    </row>
    <row r="34" spans="1:27" ht="16.5" customHeight="1">
      <c r="A34" s="50"/>
      <c r="B34" s="50"/>
      <c r="C34" s="324"/>
      <c r="D34" s="325"/>
      <c r="E34" s="325"/>
      <c r="F34" s="325"/>
      <c r="G34" s="293"/>
      <c r="H34" s="331"/>
      <c r="I34" s="331"/>
      <c r="J34" s="331"/>
      <c r="K34" s="331"/>
      <c r="L34" s="331"/>
      <c r="M34" s="331"/>
      <c r="N34" s="331"/>
      <c r="O34" s="332"/>
      <c r="P34" s="287"/>
      <c r="Q34" s="50"/>
      <c r="R34" s="50"/>
      <c r="S34" s="50"/>
      <c r="AA34" s="255">
        <v>1</v>
      </c>
    </row>
    <row r="35" spans="1:27" ht="16.5" customHeight="1">
      <c r="A35" s="50"/>
      <c r="B35" s="50"/>
      <c r="C35" s="324"/>
      <c r="D35" s="325"/>
      <c r="E35" s="325"/>
      <c r="F35" s="325"/>
      <c r="G35" s="293"/>
      <c r="H35" s="331"/>
      <c r="I35" s="331"/>
      <c r="J35" s="331"/>
      <c r="K35" s="331"/>
      <c r="L35" s="331"/>
      <c r="M35" s="331"/>
      <c r="N35" s="331"/>
      <c r="O35" s="332"/>
      <c r="P35" s="287"/>
      <c r="Q35" s="50"/>
      <c r="R35" s="50"/>
      <c r="S35" s="50"/>
      <c r="AA35" s="255">
        <v>1</v>
      </c>
    </row>
    <row r="36" spans="1:27" ht="16.5" customHeight="1">
      <c r="A36" s="50"/>
      <c r="B36" s="50"/>
      <c r="C36" s="324"/>
      <c r="D36" s="325"/>
      <c r="E36" s="325"/>
      <c r="F36" s="325"/>
      <c r="G36" s="293"/>
      <c r="H36" s="331"/>
      <c r="I36" s="331"/>
      <c r="J36" s="331"/>
      <c r="K36" s="331"/>
      <c r="L36" s="331"/>
      <c r="M36" s="331"/>
      <c r="N36" s="331"/>
      <c r="O36" s="332"/>
      <c r="P36" s="287"/>
      <c r="Q36" s="50"/>
      <c r="R36" s="50"/>
      <c r="S36" s="50"/>
      <c r="AA36" s="255">
        <v>1</v>
      </c>
    </row>
    <row r="37" spans="1:27" ht="16.5" customHeight="1">
      <c r="A37" s="50"/>
      <c r="B37" s="50"/>
      <c r="C37" s="324"/>
      <c r="D37" s="325"/>
      <c r="E37" s="325"/>
      <c r="F37" s="325"/>
      <c r="G37" s="293"/>
      <c r="H37" s="331"/>
      <c r="I37" s="331"/>
      <c r="J37" s="331"/>
      <c r="K37" s="331"/>
      <c r="L37" s="331"/>
      <c r="M37" s="331"/>
      <c r="N37" s="331"/>
      <c r="O37" s="332"/>
      <c r="P37" s="287"/>
      <c r="Q37" s="50"/>
      <c r="R37" s="50"/>
      <c r="S37" s="50"/>
      <c r="AA37" s="255">
        <v>1</v>
      </c>
    </row>
    <row r="38" spans="1:27" ht="16.5" customHeight="1">
      <c r="A38" s="50"/>
      <c r="B38" s="50"/>
      <c r="C38" s="324"/>
      <c r="D38" s="325"/>
      <c r="E38" s="325"/>
      <c r="F38" s="325"/>
      <c r="G38" s="293"/>
      <c r="H38" s="331"/>
      <c r="I38" s="331"/>
      <c r="J38" s="331"/>
      <c r="K38" s="331"/>
      <c r="L38" s="331"/>
      <c r="M38" s="331"/>
      <c r="N38" s="331"/>
      <c r="O38" s="332"/>
      <c r="P38" s="287"/>
      <c r="Q38" s="50"/>
      <c r="R38" s="50"/>
      <c r="S38" s="50"/>
      <c r="AA38" s="255">
        <v>1</v>
      </c>
    </row>
    <row r="39" spans="1:27" ht="16.5" customHeight="1">
      <c r="A39" s="50"/>
      <c r="B39" s="50"/>
      <c r="C39" s="324"/>
      <c r="D39" s="325"/>
      <c r="E39" s="325"/>
      <c r="F39" s="325"/>
      <c r="G39" s="293"/>
      <c r="H39" s="331"/>
      <c r="I39" s="331"/>
      <c r="J39" s="331"/>
      <c r="K39" s="331"/>
      <c r="L39" s="331"/>
      <c r="M39" s="331"/>
      <c r="N39" s="331"/>
      <c r="O39" s="332"/>
      <c r="P39" s="287"/>
      <c r="Q39" s="50"/>
      <c r="R39" s="50"/>
      <c r="S39" s="50"/>
      <c r="AA39" s="255">
        <v>1</v>
      </c>
    </row>
    <row r="40" spans="1:27" ht="16.5" customHeight="1">
      <c r="A40" s="50"/>
      <c r="B40" s="50"/>
      <c r="C40" s="324"/>
      <c r="D40" s="325"/>
      <c r="E40" s="325"/>
      <c r="F40" s="325"/>
      <c r="G40" s="293"/>
      <c r="H40" s="331"/>
      <c r="I40" s="331"/>
      <c r="J40" s="331"/>
      <c r="K40" s="331"/>
      <c r="L40" s="331"/>
      <c r="M40" s="331"/>
      <c r="N40" s="331"/>
      <c r="O40" s="332"/>
      <c r="P40" s="287"/>
      <c r="Q40" s="50"/>
      <c r="R40" s="50"/>
      <c r="S40" s="50"/>
      <c r="AA40" s="255">
        <v>1</v>
      </c>
    </row>
    <row r="41" spans="1:27" ht="12.75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284"/>
      <c r="P41" s="284"/>
      <c r="Q41" s="50"/>
      <c r="R41" s="50"/>
      <c r="S41" s="50"/>
      <c r="AA41" s="255">
        <v>1</v>
      </c>
    </row>
    <row r="42" spans="1:19" ht="14.25">
      <c r="A42" s="50"/>
      <c r="B42" s="50"/>
      <c r="C42" s="53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281"/>
      <c r="O42" s="254"/>
      <c r="P42" s="53"/>
      <c r="Q42" s="50"/>
      <c r="R42" s="50"/>
      <c r="S42" s="50"/>
    </row>
    <row r="43" spans="1:19" ht="14.25">
      <c r="A43" s="50"/>
      <c r="B43" s="50"/>
      <c r="C43" s="53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281"/>
      <c r="O43" s="254"/>
      <c r="P43" s="53"/>
      <c r="Q43" s="50"/>
      <c r="R43" s="50"/>
      <c r="S43" s="50"/>
    </row>
    <row r="44" spans="1:19" ht="14.25">
      <c r="A44" s="50"/>
      <c r="B44" s="50"/>
      <c r="C44" s="53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281"/>
      <c r="O44" s="254"/>
      <c r="P44" s="53"/>
      <c r="Q44" s="50"/>
      <c r="R44" s="50"/>
      <c r="S44" s="50"/>
    </row>
    <row r="45" spans="1:19" ht="14.25">
      <c r="A45" s="50"/>
      <c r="B45" s="50"/>
      <c r="C45" s="53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281"/>
      <c r="O45" s="254"/>
      <c r="P45" s="250"/>
      <c r="Q45" s="50"/>
      <c r="R45" s="50"/>
      <c r="S45" s="50"/>
    </row>
    <row r="46" spans="1:19" ht="12.75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</row>
    <row r="47" spans="1:19" ht="12.7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</row>
    <row r="48" spans="1:19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</row>
    <row r="49" spans="1:19" ht="18.75">
      <c r="A49" s="50"/>
      <c r="B49" s="50"/>
      <c r="C49" s="181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</row>
    <row r="50" spans="1:19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</row>
    <row r="51" spans="1:19" ht="16.5" customHeight="1">
      <c r="A51" s="50"/>
      <c r="B51" s="50"/>
      <c r="C51" s="53"/>
      <c r="D51" s="50"/>
      <c r="E51" s="50"/>
      <c r="F51" s="50"/>
      <c r="G51" s="50"/>
      <c r="H51" s="50"/>
      <c r="I51" s="50"/>
      <c r="J51" s="251"/>
      <c r="K51" s="50"/>
      <c r="L51" s="50"/>
      <c r="M51" s="50"/>
      <c r="N51" s="330"/>
      <c r="O51" s="330"/>
      <c r="P51" s="330"/>
      <c r="Q51" s="50"/>
      <c r="R51" s="50"/>
      <c r="S51" s="50"/>
    </row>
    <row r="52" spans="1:19" ht="16.5" customHeight="1">
      <c r="A52" s="50"/>
      <c r="B52" s="50"/>
      <c r="C52" s="53"/>
      <c r="D52" s="50"/>
      <c r="E52" s="50"/>
      <c r="F52" s="50"/>
      <c r="G52" s="50"/>
      <c r="H52" s="50"/>
      <c r="I52" s="50"/>
      <c r="J52" s="251"/>
      <c r="K52" s="50"/>
      <c r="L52" s="50"/>
      <c r="M52" s="50"/>
      <c r="N52" s="330"/>
      <c r="O52" s="330"/>
      <c r="P52" s="330"/>
      <c r="Q52" s="50"/>
      <c r="R52" s="50"/>
      <c r="S52" s="50"/>
    </row>
    <row r="53" spans="1:19" ht="16.5" customHeight="1">
      <c r="A53" s="50"/>
      <c r="B53" s="50"/>
      <c r="C53" s="53"/>
      <c r="D53" s="50"/>
      <c r="E53" s="50"/>
      <c r="F53" s="50"/>
      <c r="G53" s="50"/>
      <c r="H53" s="50"/>
      <c r="I53" s="50"/>
      <c r="J53" s="251"/>
      <c r="K53" s="50"/>
      <c r="L53" s="50"/>
      <c r="M53" s="50"/>
      <c r="N53" s="330"/>
      <c r="O53" s="330"/>
      <c r="P53" s="330"/>
      <c r="Q53" s="50"/>
      <c r="R53" s="50"/>
      <c r="S53" s="50"/>
    </row>
    <row r="54" spans="1:19" ht="16.5" customHeight="1">
      <c r="A54" s="50"/>
      <c r="B54" s="50"/>
      <c r="C54" s="53"/>
      <c r="D54" s="50"/>
      <c r="E54" s="50"/>
      <c r="F54" s="50"/>
      <c r="G54" s="50"/>
      <c r="H54" s="50"/>
      <c r="I54" s="50"/>
      <c r="J54" s="251"/>
      <c r="K54" s="251"/>
      <c r="L54" s="251"/>
      <c r="M54" s="50"/>
      <c r="N54" s="330"/>
      <c r="O54" s="330"/>
      <c r="P54" s="330"/>
      <c r="Q54" s="50"/>
      <c r="R54" s="50"/>
      <c r="S54" s="50"/>
    </row>
    <row r="55" spans="1:19" ht="16.5" customHeight="1">
      <c r="A55" s="50"/>
      <c r="B55" s="50"/>
      <c r="C55" s="53"/>
      <c r="D55" s="50"/>
      <c r="E55" s="50"/>
      <c r="F55" s="50"/>
      <c r="G55" s="50"/>
      <c r="H55" s="50"/>
      <c r="I55" s="50"/>
      <c r="J55" s="251"/>
      <c r="K55" s="50"/>
      <c r="L55" s="50"/>
      <c r="M55" s="50"/>
      <c r="N55" s="330"/>
      <c r="O55" s="330"/>
      <c r="P55" s="330"/>
      <c r="Q55" s="50"/>
      <c r="R55" s="50"/>
      <c r="S55" s="50"/>
    </row>
    <row r="56" spans="1:19" ht="16.5" customHeight="1">
      <c r="A56" s="50"/>
      <c r="B56" s="50"/>
      <c r="C56" s="53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330"/>
      <c r="O56" s="330"/>
      <c r="P56" s="330"/>
      <c r="Q56" s="251"/>
      <c r="R56" s="50"/>
      <c r="S56" s="50"/>
    </row>
    <row r="57" spans="1:19" ht="16.5" customHeight="1">
      <c r="A57" s="50"/>
      <c r="B57" s="50"/>
      <c r="C57" s="53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330"/>
      <c r="O57" s="330"/>
      <c r="P57" s="330"/>
      <c r="Q57" s="251"/>
      <c r="R57" s="50"/>
      <c r="S57" s="50"/>
    </row>
    <row r="58" spans="1:19" ht="16.5" customHeight="1">
      <c r="A58" s="50"/>
      <c r="B58" s="50"/>
      <c r="C58" s="53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330"/>
      <c r="O58" s="330"/>
      <c r="P58" s="330"/>
      <c r="Q58" s="251"/>
      <c r="R58" s="50"/>
      <c r="S58" s="50"/>
    </row>
    <row r="59" spans="1:19" ht="16.5" customHeight="1">
      <c r="A59" s="50"/>
      <c r="B59" s="50"/>
      <c r="C59" s="53"/>
      <c r="D59" s="50"/>
      <c r="E59" s="50"/>
      <c r="F59" s="50"/>
      <c r="G59" s="50"/>
      <c r="H59" s="50"/>
      <c r="I59" s="50"/>
      <c r="J59" s="251"/>
      <c r="K59" s="251"/>
      <c r="L59" s="50"/>
      <c r="M59" s="50"/>
      <c r="N59" s="330"/>
      <c r="O59" s="330"/>
      <c r="P59" s="330"/>
      <c r="Q59" s="50"/>
      <c r="R59" s="50"/>
      <c r="S59" s="50"/>
    </row>
    <row r="60" spans="1:27" ht="14.25">
      <c r="A60" s="50"/>
      <c r="B60" s="50"/>
      <c r="C60" s="53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330"/>
      <c r="O60" s="330"/>
      <c r="P60" s="330"/>
      <c r="Q60" s="251"/>
      <c r="R60" s="50"/>
      <c r="S60" s="50"/>
      <c r="AA60" s="255"/>
    </row>
    <row r="61" spans="1:19" ht="16.5" customHeight="1">
      <c r="A61" s="50"/>
      <c r="B61" s="50"/>
      <c r="C61" s="53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330"/>
      <c r="O61" s="330"/>
      <c r="P61" s="330"/>
      <c r="Q61" s="251"/>
      <c r="R61" s="50"/>
      <c r="S61" s="50"/>
    </row>
    <row r="62" spans="1:19" ht="14.25">
      <c r="A62" s="50"/>
      <c r="B62" s="50"/>
      <c r="C62" s="53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</row>
    <row r="63" spans="1:19" ht="14.25">
      <c r="A63" s="50"/>
      <c r="B63" s="50"/>
      <c r="C63" s="53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</row>
    <row r="64" spans="1:19" ht="12.75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</row>
  </sheetData>
  <sheetProtection password="D51C" sheet="1" objects="1" scenarios="1"/>
  <mergeCells count="65">
    <mergeCell ref="M12:Q12"/>
    <mergeCell ref="H40:I40"/>
    <mergeCell ref="J31:L31"/>
    <mergeCell ref="J32:L32"/>
    <mergeCell ref="J37:L37"/>
    <mergeCell ref="J38:L38"/>
    <mergeCell ref="M32:O32"/>
    <mergeCell ref="M30:O30"/>
    <mergeCell ref="E12:H12"/>
    <mergeCell ref="E18:H18"/>
    <mergeCell ref="C30:F30"/>
    <mergeCell ref="H30:I30"/>
    <mergeCell ref="C32:F32"/>
    <mergeCell ref="C31:F31"/>
    <mergeCell ref="C33:F33"/>
    <mergeCell ref="J33:L33"/>
    <mergeCell ref="J30:L30"/>
    <mergeCell ref="C1:Q1"/>
    <mergeCell ref="P5:Q5"/>
    <mergeCell ref="M3:Q3"/>
    <mergeCell ref="J5:L5"/>
    <mergeCell ref="M31:O31"/>
    <mergeCell ref="M37:O37"/>
    <mergeCell ref="C35:F35"/>
    <mergeCell ref="H31:I31"/>
    <mergeCell ref="H32:I32"/>
    <mergeCell ref="M33:O33"/>
    <mergeCell ref="N61:P61"/>
    <mergeCell ref="H38:I38"/>
    <mergeCell ref="N58:P58"/>
    <mergeCell ref="N59:P59"/>
    <mergeCell ref="N60:P60"/>
    <mergeCell ref="H39:I39"/>
    <mergeCell ref="M40:O40"/>
    <mergeCell ref="M38:O38"/>
    <mergeCell ref="M39:O39"/>
    <mergeCell ref="N55:P55"/>
    <mergeCell ref="M36:O36"/>
    <mergeCell ref="N52:P52"/>
    <mergeCell ref="N53:P53"/>
    <mergeCell ref="N57:P57"/>
    <mergeCell ref="H37:I37"/>
    <mergeCell ref="J34:L34"/>
    <mergeCell ref="J35:L35"/>
    <mergeCell ref="J36:L36"/>
    <mergeCell ref="M35:O35"/>
    <mergeCell ref="M34:O34"/>
    <mergeCell ref="C37:F37"/>
    <mergeCell ref="N54:P54"/>
    <mergeCell ref="J40:L40"/>
    <mergeCell ref="C38:F38"/>
    <mergeCell ref="N51:P51"/>
    <mergeCell ref="C39:F39"/>
    <mergeCell ref="J39:L39"/>
    <mergeCell ref="C40:F40"/>
    <mergeCell ref="E7:F7"/>
    <mergeCell ref="C34:F34"/>
    <mergeCell ref="C36:F36"/>
    <mergeCell ref="P7:Q7"/>
    <mergeCell ref="N7:O7"/>
    <mergeCell ref="N56:P56"/>
    <mergeCell ref="H33:I33"/>
    <mergeCell ref="H34:I34"/>
    <mergeCell ref="H35:I35"/>
    <mergeCell ref="H36:I36"/>
  </mergeCells>
  <printOptions/>
  <pageMargins left="0.75" right="0.75" top="1" bottom="1" header="0" footer="0"/>
  <pageSetup horizontalDpi="600" verticalDpi="600"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AF47"/>
  <sheetViews>
    <sheetView showGridLines="0" showRowColHeaders="0" zoomScalePageLayoutView="0" workbookViewId="0" topLeftCell="A1">
      <selection activeCell="H8" sqref="H8"/>
    </sheetView>
  </sheetViews>
  <sheetFormatPr defaultColWidth="11.421875" defaultRowHeight="12.75"/>
  <cols>
    <col min="1" max="1" width="3.140625" style="66" customWidth="1"/>
    <col min="2" max="2" width="9.8515625" style="66" customWidth="1"/>
    <col min="3" max="3" width="20.28125" style="66" customWidth="1"/>
    <col min="4" max="4" width="27.421875" style="66" customWidth="1"/>
    <col min="5" max="5" width="11.140625" style="66" customWidth="1"/>
    <col min="6" max="6" width="21.28125" style="66" customWidth="1"/>
    <col min="7" max="7" width="2.00390625" style="69" customWidth="1"/>
    <col min="8" max="8" width="3.57421875" style="66" customWidth="1"/>
    <col min="9" max="29" width="11.421875" style="66" customWidth="1"/>
    <col min="30" max="30" width="11.421875" style="77" customWidth="1"/>
    <col min="31" max="16384" width="11.421875" style="66" customWidth="1"/>
  </cols>
  <sheetData>
    <row r="1" spans="30:32" ht="33" customHeight="1">
      <c r="AD1" s="67">
        <f>IF(E16="",0,E16)+IF(E25="",0,E25)+IF(E44="",0,E44)</f>
        <v>0</v>
      </c>
      <c r="AE1" s="67">
        <f>IF(E16="",0,E16)+IF(E25="",0,E25)</f>
        <v>0</v>
      </c>
      <c r="AF1" s="67"/>
    </row>
    <row r="2" spans="2:7" ht="26.25">
      <c r="B2" s="541" t="s">
        <v>125</v>
      </c>
      <c r="C2" s="541"/>
      <c r="D2" s="541"/>
      <c r="E2" s="541"/>
      <c r="F2" s="541"/>
      <c r="G2" s="76"/>
    </row>
    <row r="3" spans="2:7" ht="23.25">
      <c r="B3" s="76"/>
      <c r="C3" s="550" t="s">
        <v>358</v>
      </c>
      <c r="D3" s="550"/>
      <c r="E3" s="308">
        <f>IF(ISBLANK(Inicio!J5),"",Inicio!J5)</f>
        <v>2020</v>
      </c>
      <c r="F3" s="76"/>
      <c r="G3" s="76"/>
    </row>
    <row r="4" spans="2:7" ht="23.25">
      <c r="B4" s="76"/>
      <c r="C4" s="76"/>
      <c r="D4" s="76"/>
      <c r="E4" s="76"/>
      <c r="F4" s="76"/>
      <c r="G4" s="76"/>
    </row>
    <row r="5" spans="2:7" ht="39.75" customHeight="1">
      <c r="B5" s="542">
        <f>IF(ISBLANK(Inicio!M3),"","Centro: "&amp;Inicio!M3)</f>
      </c>
      <c r="C5" s="542"/>
      <c r="D5" s="542"/>
      <c r="E5" s="542"/>
      <c r="F5" s="542"/>
      <c r="G5" s="76"/>
    </row>
    <row r="6" spans="2:7" ht="26.25" customHeight="1">
      <c r="B6" s="78"/>
      <c r="C6" s="551">
        <f>IF(ISBLANK(Inicio!P7),"","Autorización: "&amp;UPPER(Inicio!P7))</f>
      </c>
      <c r="D6" s="552"/>
      <c r="E6" s="552"/>
      <c r="F6" s="146">
        <f>IF(ISBLANK(Inicio!P5),"","CIF: "&amp;UPPER(Inicio!P5))</f>
      </c>
      <c r="G6" s="76"/>
    </row>
    <row r="7" spans="2:7" ht="23.25">
      <c r="B7" s="78"/>
      <c r="C7" s="551">
        <f>IF(ISBLANK(Inicio!E7),"","Exclusión: "&amp;UPPER(Inicio!E7))</f>
      </c>
      <c r="D7" s="552"/>
      <c r="E7" s="552"/>
      <c r="F7" s="78"/>
      <c r="G7" s="76"/>
    </row>
    <row r="8" spans="2:6" ht="21">
      <c r="B8" s="569" t="s">
        <v>129</v>
      </c>
      <c r="C8" s="393"/>
      <c r="D8" s="393"/>
      <c r="E8" s="393"/>
      <c r="F8" s="393"/>
    </row>
    <row r="9" spans="2:6" ht="18">
      <c r="B9" s="79"/>
      <c r="C9" s="74"/>
      <c r="D9" s="74"/>
      <c r="E9" s="74"/>
      <c r="F9" s="74"/>
    </row>
    <row r="10" spans="2:7" s="88" customFormat="1" ht="15">
      <c r="B10" s="89" t="s">
        <v>126</v>
      </c>
      <c r="C10" s="90" t="str">
        <f>IF(INDEX(TSECTOR,MATCH(Inicio!$AA$2,TSECTOR_FILAS,),MATCH("Tipo",TSECTOR_CAMPOS,))="Vacio","",INDEX(TSECTOR,MATCH(Inicio!$AA$2,TSECTOR_FILAS,),MATCH("Sector",TSECTOR_CAMPOS,)))</f>
        <v>--- Seleccione sector ---</v>
      </c>
      <c r="D10" s="86"/>
      <c r="E10" s="86"/>
      <c r="F10" s="86"/>
      <c r="G10" s="87"/>
    </row>
    <row r="11" spans="2:7" s="88" customFormat="1" ht="15">
      <c r="B11" s="89" t="s">
        <v>127</v>
      </c>
      <c r="C11" s="90" t="str">
        <f>INDEX(TRANGO,MATCH(Inicio!$AA$1,TRANGO_FILAS,),MATCH("Emisiones",TRANGO_CAMPOS,))</f>
        <v>&gt;50.000t Y &lt;=500.000t</v>
      </c>
      <c r="D11" s="86"/>
      <c r="E11" s="86"/>
      <c r="F11" s="86"/>
      <c r="G11" s="87"/>
    </row>
    <row r="12" spans="2:5" ht="24.75" customHeight="1">
      <c r="B12" s="80"/>
      <c r="C12" s="80"/>
      <c r="D12" s="80"/>
      <c r="E12" s="80"/>
    </row>
    <row r="13" spans="2:6" ht="15.75">
      <c r="B13" s="562" t="s">
        <v>120</v>
      </c>
      <c r="C13" s="563"/>
      <c r="D13" s="563"/>
      <c r="E13" s="563"/>
      <c r="F13" s="563"/>
    </row>
    <row r="15" spans="2:30" s="81" customFormat="1" ht="35.25" customHeight="1">
      <c r="B15" s="546" t="s">
        <v>95</v>
      </c>
      <c r="C15" s="560"/>
      <c r="D15" s="561"/>
      <c r="E15" s="546" t="s">
        <v>121</v>
      </c>
      <c r="F15" s="547"/>
      <c r="G15" s="75"/>
      <c r="I15" s="106">
        <f>IF(Inicio!$AB$2="Cemen",'Emisiones Proceso Cementeras'!$K$20,IF(Inicio!$AB$2="Fritas",'Emisiones Proceso Vídrio-Fritas'!#REF!,IF(Inicio!$AB$2="Ceram",'Emisiones Proceso'!#REF!,"")))</f>
      </c>
      <c r="AD15" s="82"/>
    </row>
    <row r="16" spans="2:6" ht="30.75" customHeight="1">
      <c r="B16" s="557">
        <f>IF(ISBLANK(Inicio!E12),"",UPPER(Inicio!E12))</f>
      </c>
      <c r="C16" s="558"/>
      <c r="D16" s="559"/>
      <c r="E16" s="548">
        <f>'Emisiones Combustión'!U63</f>
        <v>0</v>
      </c>
      <c r="F16" s="549"/>
    </row>
    <row r="17" spans="2:7" s="70" customFormat="1" ht="15" customHeight="1">
      <c r="B17" s="95"/>
      <c r="C17" s="94"/>
      <c r="D17" s="96">
        <f>IF('Emisiones Combustión'!$AI8&lt;&gt;"O",INDEX(TVALCAL,MATCH('Emisiones Combustión'!$AH8,TVALCAL_FILAS,),MATCH("Combustible",TVALCAL_CAMPOS,)),"")</f>
      </c>
      <c r="E17" s="97"/>
      <c r="F17" s="134">
        <f>'Emisiones Combustión'!U8</f>
        <v>0</v>
      </c>
      <c r="G17" s="91"/>
    </row>
    <row r="18" spans="2:7" s="70" customFormat="1" ht="15" customHeight="1">
      <c r="B18" s="95"/>
      <c r="C18" s="94"/>
      <c r="D18" s="96">
        <f>IF('Emisiones Combustión'!$AI15&lt;&gt;"O",INDEX(TVALCAL,MATCH('Emisiones Combustión'!$AH15,TVALCAL_FILAS,),MATCH("Combustible",TVALCAL_CAMPOS,)),"")</f>
      </c>
      <c r="E18" s="99"/>
      <c r="F18" s="133">
        <f>'Emisiones Combustión'!U15</f>
        <v>0</v>
      </c>
      <c r="G18" s="91"/>
    </row>
    <row r="19" spans="2:7" s="70" customFormat="1" ht="15" customHeight="1">
      <c r="B19" s="95"/>
      <c r="C19" s="94"/>
      <c r="D19" s="96">
        <f>IF('Emisiones Combustión'!$AI22&lt;&gt;"O",INDEX(TVALCAL,MATCH('Emisiones Combustión'!$AH22,TVALCAL_FILAS,),MATCH("Combustible",TVALCAL_CAMPOS,)),"")</f>
      </c>
      <c r="E19" s="99"/>
      <c r="F19" s="133">
        <f>'Emisiones Combustión'!U22</f>
        <v>0</v>
      </c>
      <c r="G19" s="91"/>
    </row>
    <row r="20" spans="2:7" s="70" customFormat="1" ht="15" customHeight="1">
      <c r="B20" s="95"/>
      <c r="C20" s="94"/>
      <c r="D20" s="96">
        <f>IF('Emisiones Combustión'!$AI29&lt;&gt;"O",INDEX(TVALCAL,MATCH('Emisiones Combustión'!$AH29,TVALCAL_FILAS,),MATCH("Combustible",TVALCAL_CAMPOS,)),"")</f>
      </c>
      <c r="E20" s="99"/>
      <c r="F20" s="133">
        <f>'Emisiones Combustión'!U29</f>
        <v>0</v>
      </c>
      <c r="G20" s="91"/>
    </row>
    <row r="21" spans="2:7" s="70" customFormat="1" ht="15" customHeight="1">
      <c r="B21" s="95"/>
      <c r="C21" s="94"/>
      <c r="D21" s="96">
        <f>IF('Emisiones Combustión'!$AI36&lt;&gt;"O",INDEX(TVALCAL,MATCH('Emisiones Combustión'!$AH36,TVALCAL_FILAS,),MATCH("Combustible",TVALCAL_CAMPOS,)),"")</f>
      </c>
      <c r="E21" s="99"/>
      <c r="F21" s="133">
        <f>'Emisiones Combustión'!U36</f>
        <v>0</v>
      </c>
      <c r="G21" s="91"/>
    </row>
    <row r="22" spans="2:7" s="70" customFormat="1" ht="15" customHeight="1">
      <c r="B22" s="95"/>
      <c r="C22" s="94"/>
      <c r="D22" s="96">
        <f>IF('Emisiones Combustión'!$AI43&lt;&gt;"O",INDEX(TVALCAL,MATCH('Emisiones Combustión'!$AH43,TVALCAL_FILAS,),MATCH("Combustible",TVALCAL_CAMPOS,)),"")</f>
      </c>
      <c r="E22" s="99"/>
      <c r="F22" s="133">
        <f>'Emisiones Combustión'!U43</f>
        <v>0</v>
      </c>
      <c r="G22" s="91"/>
    </row>
    <row r="23" spans="2:7" s="70" customFormat="1" ht="15" customHeight="1">
      <c r="B23" s="95"/>
      <c r="C23" s="94"/>
      <c r="D23" s="96">
        <f>IF('Emisiones Combustión'!$AI50&lt;&gt;"O",INDEX(TVALCAL,MATCH('Emisiones Combustión'!$AH50,TVALCAL_FILAS,),MATCH("Combustible",TVALCAL_CAMPOS,)),"")</f>
      </c>
      <c r="E23" s="99"/>
      <c r="F23" s="133">
        <f>'Emisiones Combustión'!U50</f>
        <v>0</v>
      </c>
      <c r="G23" s="91"/>
    </row>
    <row r="24" spans="2:7" s="70" customFormat="1" ht="15" customHeight="1">
      <c r="B24" s="92"/>
      <c r="C24" s="93"/>
      <c r="D24" s="96">
        <f>IF('Emisiones Combustión'!$AI57&lt;&gt;"O",INDEX(TVALCAL,MATCH('Emisiones Combustión'!$AH57,TVALCAL_FILAS,),MATCH("Combustible",TVALCAL_CAMPOS,)),"")</f>
      </c>
      <c r="E24" s="98"/>
      <c r="F24" s="132">
        <f>'Emisiones Combustión'!U57</f>
        <v>0</v>
      </c>
      <c r="G24" s="91"/>
    </row>
    <row r="25" spans="2:9" ht="30.75" customHeight="1">
      <c r="B25" s="557">
        <f>IF(ISBLANK(Inicio!E18),"",UPPER(Inicio!E18))</f>
      </c>
      <c r="C25" s="558"/>
      <c r="D25" s="559"/>
      <c r="E25" s="548">
        <f>'Emisiones Combustión'!U123</f>
        <v>0</v>
      </c>
      <c r="F25" s="549"/>
      <c r="I25" s="68" t="e">
        <f>'Emisiones Proceso Vídrio-Fritas'!#REF!</f>
        <v>#REF!</v>
      </c>
    </row>
    <row r="26" spans="2:7" s="70" customFormat="1" ht="15" customHeight="1">
      <c r="B26" s="95"/>
      <c r="C26" s="94"/>
      <c r="D26" s="96">
        <f>IF('Emisiones Combustión'!$AI68&lt;&gt;"O",INDEX(TVALCAL,MATCH('Emisiones Combustión'!$AH68,TVALCAL_FILAS,),MATCH("Combustible",TVALCAL_CAMPOS,)),"")</f>
      </c>
      <c r="E26" s="97"/>
      <c r="F26" s="134">
        <f>'Emisiones Combustión'!U68</f>
        <v>0</v>
      </c>
      <c r="G26" s="91"/>
    </row>
    <row r="27" spans="2:7" s="70" customFormat="1" ht="15" customHeight="1">
      <c r="B27" s="95"/>
      <c r="C27" s="94"/>
      <c r="D27" s="96">
        <f>IF('Emisiones Combustión'!$AI75&lt;&gt;"O",INDEX(TVALCAL,MATCH('Emisiones Combustión'!$AH75,TVALCAL_FILAS,),MATCH("Combustible",TVALCAL_CAMPOS,)),"")</f>
      </c>
      <c r="E27" s="99"/>
      <c r="F27" s="133">
        <f>'Emisiones Combustión'!U75</f>
        <v>0</v>
      </c>
      <c r="G27" s="91"/>
    </row>
    <row r="28" spans="2:7" s="70" customFormat="1" ht="15" customHeight="1">
      <c r="B28" s="95"/>
      <c r="C28" s="94"/>
      <c r="D28" s="96">
        <f>IF('Emisiones Combustión'!$AI82&lt;&gt;"O",INDEX(TVALCAL,MATCH('Emisiones Combustión'!$AH82,TVALCAL_FILAS,),MATCH("Combustible",TVALCAL_CAMPOS,)),"")</f>
      </c>
      <c r="E28" s="99"/>
      <c r="F28" s="133">
        <f>'Emisiones Combustión'!U82</f>
        <v>0</v>
      </c>
      <c r="G28" s="91"/>
    </row>
    <row r="29" spans="2:7" s="70" customFormat="1" ht="15" customHeight="1">
      <c r="B29" s="95"/>
      <c r="C29" s="94"/>
      <c r="D29" s="96">
        <f>IF('Emisiones Combustión'!$AI89&lt;&gt;"O",INDEX(TVALCAL,MATCH('Emisiones Combustión'!$AH89,TVALCAL_FILAS,),MATCH("Combustible",TVALCAL_CAMPOS,)),"")</f>
      </c>
      <c r="E29" s="99"/>
      <c r="F29" s="133">
        <f>'Emisiones Combustión'!U89</f>
        <v>0</v>
      </c>
      <c r="G29" s="91"/>
    </row>
    <row r="30" spans="2:7" s="70" customFormat="1" ht="15" customHeight="1">
      <c r="B30" s="95"/>
      <c r="C30" s="94"/>
      <c r="D30" s="96">
        <f>IF('Emisiones Combustión'!$AI96&lt;&gt;"O",INDEX(TVALCAL,MATCH('Emisiones Combustión'!$AH96,TVALCAL_FILAS,),MATCH("Combustible",TVALCAL_CAMPOS,)),"")</f>
      </c>
      <c r="E30" s="99"/>
      <c r="F30" s="133">
        <f>'Emisiones Combustión'!U96</f>
        <v>0</v>
      </c>
      <c r="G30" s="91"/>
    </row>
    <row r="31" spans="2:7" s="70" customFormat="1" ht="15" customHeight="1">
      <c r="B31" s="95"/>
      <c r="C31" s="94"/>
      <c r="D31" s="96">
        <f>IF('Emisiones Combustión'!$AI103&lt;&gt;"O",INDEX(TVALCAL,MATCH('Emisiones Combustión'!$AH103,TVALCAL_FILAS,),MATCH("Combustible",TVALCAL_CAMPOS,)),"")</f>
      </c>
      <c r="E31" s="99"/>
      <c r="F31" s="133">
        <f>'Emisiones Combustión'!U103</f>
        <v>0</v>
      </c>
      <c r="G31" s="91"/>
    </row>
    <row r="32" spans="2:7" s="70" customFormat="1" ht="15" customHeight="1">
      <c r="B32" s="95"/>
      <c r="C32" s="94"/>
      <c r="D32" s="96">
        <f>IF('Emisiones Combustión'!$AI110&lt;&gt;"O",INDEX(TVALCAL,MATCH('Emisiones Combustión'!$AH110,TVALCAL_FILAS,),MATCH("Combustible",TVALCAL_CAMPOS,)),"")</f>
      </c>
      <c r="E32" s="99"/>
      <c r="F32" s="133">
        <f>'Emisiones Combustión'!U110</f>
        <v>0</v>
      </c>
      <c r="G32" s="91"/>
    </row>
    <row r="33" spans="2:7" s="70" customFormat="1" ht="15" customHeight="1">
      <c r="B33" s="92"/>
      <c r="C33" s="93"/>
      <c r="D33" s="315">
        <f>IF('Emisiones Combustión'!$AI117&lt;&gt;"O",INDEX(TVALCAL,MATCH('Emisiones Combustión'!$AH117,TVALCAL_FILAS,),MATCH("Combustible",TVALCAL_CAMPOS,)),"")</f>
      </c>
      <c r="E33" s="312"/>
      <c r="F33" s="313">
        <f>'Emisiones Combustión'!U117</f>
        <v>0</v>
      </c>
      <c r="G33" s="91"/>
    </row>
    <row r="34" spans="2:7" s="70" customFormat="1" ht="15" customHeight="1">
      <c r="B34" s="95"/>
      <c r="C34" s="94"/>
      <c r="D34" s="96"/>
      <c r="E34" s="311"/>
      <c r="F34" s="314">
        <f>'Emisiones Combustión'!U96</f>
        <v>0</v>
      </c>
      <c r="G34" s="91"/>
    </row>
    <row r="35" spans="2:7" s="70" customFormat="1" ht="15" customHeight="1" hidden="1">
      <c r="B35" s="95"/>
      <c r="C35" s="94"/>
      <c r="D35" s="96"/>
      <c r="E35" s="99"/>
      <c r="F35" s="133">
        <f>'Emisiones Combustión'!U103</f>
        <v>0</v>
      </c>
      <c r="G35" s="91"/>
    </row>
    <row r="36" spans="2:7" s="70" customFormat="1" ht="15" customHeight="1" hidden="1">
      <c r="B36" s="95"/>
      <c r="C36" s="94"/>
      <c r="D36" s="96"/>
      <c r="E36" s="311"/>
      <c r="F36" s="132">
        <f>'Emisiones Combustión'!U110</f>
        <v>0</v>
      </c>
      <c r="G36" s="91"/>
    </row>
    <row r="37" spans="2:7" s="70" customFormat="1" ht="15" customHeight="1" hidden="1">
      <c r="B37" s="92"/>
      <c r="C37" s="93"/>
      <c r="D37" s="96">
        <f>IF('Emisiones Combustión'!$AI96&lt;&gt;"O",INDEX(TVALCAL,MATCH('Emisiones Combustión'!$AH96,TVALCAL_FILAS,),MATCH("Combustible",TVALCAL_CAMPOS,)),"")</f>
      </c>
      <c r="E37" s="312"/>
      <c r="F37" s="313">
        <f>'Emisiones Combustión'!U117</f>
        <v>0</v>
      </c>
      <c r="G37" s="91"/>
    </row>
    <row r="38" spans="2:9" ht="30.75" customHeight="1" hidden="1">
      <c r="B38" s="553" t="s">
        <v>122</v>
      </c>
      <c r="C38" s="554"/>
      <c r="D38" s="554"/>
      <c r="E38" s="564">
        <f>AE1</f>
        <v>0</v>
      </c>
      <c r="F38" s="549"/>
      <c r="I38" s="68" t="e">
        <f>'Emisiones Proceso'!#REF!</f>
        <v>#REF!</v>
      </c>
    </row>
    <row r="39" spans="2:9" ht="30.75" customHeight="1">
      <c r="B39" s="553" t="s">
        <v>122</v>
      </c>
      <c r="C39" s="554"/>
      <c r="D39" s="554"/>
      <c r="E39" s="564">
        <f>AE1</f>
        <v>0</v>
      </c>
      <c r="F39" s="549"/>
      <c r="I39" s="68" t="e">
        <f>'[1]Emisiones Proceso'!#REF!</f>
        <v>#REF!</v>
      </c>
    </row>
    <row r="40" spans="2:7" ht="29.25" customHeight="1">
      <c r="B40" s="83"/>
      <c r="C40" s="83"/>
      <c r="D40" s="83"/>
      <c r="E40" s="83"/>
      <c r="F40" s="69"/>
      <c r="G40" s="73"/>
    </row>
    <row r="41" spans="2:6" ht="15.75">
      <c r="B41" s="562" t="s">
        <v>123</v>
      </c>
      <c r="C41" s="563"/>
      <c r="D41" s="563"/>
      <c r="E41" s="563"/>
      <c r="F41" s="563"/>
    </row>
    <row r="43" spans="2:30" s="81" customFormat="1" ht="35.25" customHeight="1">
      <c r="B43" s="546" t="s">
        <v>95</v>
      </c>
      <c r="C43" s="560"/>
      <c r="D43" s="561"/>
      <c r="E43" s="546" t="s">
        <v>121</v>
      </c>
      <c r="F43" s="547"/>
      <c r="G43" s="75"/>
      <c r="I43" s="106">
        <f>IF(Inicio!$AB$2="Cemen",'Emisiones Proceso Cementeras'!$K$20,IF(Inicio!$AB$2="Fritas",'Emisiones Proceso Vídrio-Fritas'!#REF!,IF(Inicio!$AB$2="Ceram",'Emisiones Proceso'!#REF!,"")))</f>
      </c>
      <c r="AD43" s="82"/>
    </row>
    <row r="44" spans="2:6" ht="30.75" customHeight="1">
      <c r="B44" s="543">
        <f>IF(ISBLANK(Inicio!M12),"",UPPER(Inicio!M12))</f>
      </c>
      <c r="C44" s="544"/>
      <c r="D44" s="545"/>
      <c r="E44" s="548">
        <f>IF(Inicio!$AB$2="Cemen",'Emisiones Proceso Cementeras'!$F$69,IF(Inicio!$AB$2="Fritas",'Emisiones Proceso Vídrio-Fritas'!$G$27,IF(Inicio!$AB$2="Cal",'Emisiones Cal'!$G$31,IF(Inicio!$AB$2="Ceram",IF(Inicio!$AA$6=2,'Emisiones Proceso Agregado'!$G$91,'Emisiones Proceso'!$G$117),""))))</f>
      </c>
      <c r="F44" s="549"/>
    </row>
    <row r="45" spans="2:6" ht="30.75" customHeight="1">
      <c r="B45" s="553" t="s">
        <v>124</v>
      </c>
      <c r="C45" s="554"/>
      <c r="D45" s="554"/>
      <c r="E45" s="555">
        <f>E44</f>
      </c>
      <c r="F45" s="556"/>
    </row>
    <row r="46" ht="15.75">
      <c r="G46" s="67"/>
    </row>
    <row r="47" spans="2:30" s="84" customFormat="1" ht="23.25" customHeight="1">
      <c r="B47" s="567" t="s">
        <v>130</v>
      </c>
      <c r="C47" s="568"/>
      <c r="D47" s="568"/>
      <c r="E47" s="565">
        <f>AD1</f>
        <v>0</v>
      </c>
      <c r="F47" s="566"/>
      <c r="G47" s="67"/>
      <c r="AD47" s="85"/>
    </row>
  </sheetData>
  <sheetProtection password="D51C" sheet="1" objects="1" scenarios="1"/>
  <mergeCells count="26">
    <mergeCell ref="E47:F47"/>
    <mergeCell ref="B47:D47"/>
    <mergeCell ref="B8:F8"/>
    <mergeCell ref="B13:F13"/>
    <mergeCell ref="E15:F15"/>
    <mergeCell ref="E16:F16"/>
    <mergeCell ref="E25:F25"/>
    <mergeCell ref="B38:D38"/>
    <mergeCell ref="E38:F38"/>
    <mergeCell ref="B25:D25"/>
    <mergeCell ref="B45:D45"/>
    <mergeCell ref="E45:F45"/>
    <mergeCell ref="B16:D16"/>
    <mergeCell ref="B15:D15"/>
    <mergeCell ref="B41:F41"/>
    <mergeCell ref="B43:D43"/>
    <mergeCell ref="B39:D39"/>
    <mergeCell ref="E39:F39"/>
    <mergeCell ref="B2:F2"/>
    <mergeCell ref="B5:F5"/>
    <mergeCell ref="B44:D44"/>
    <mergeCell ref="E43:F43"/>
    <mergeCell ref="E44:F44"/>
    <mergeCell ref="C3:D3"/>
    <mergeCell ref="C6:E6"/>
    <mergeCell ref="C7:E7"/>
  </mergeCells>
  <printOptions/>
  <pageMargins left="0.42" right="0.28" top="1" bottom="0.36" header="0" footer="0"/>
  <pageSetup fitToHeight="1" fitToWidth="1" horizontalDpi="600" verticalDpi="600" orientation="portrait" paperSize="9" scale="95" r:id="rId2"/>
  <ignoredErrors>
    <ignoredError sqref="I25 I39" evalError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BH33"/>
  <sheetViews>
    <sheetView zoomScale="112" zoomScaleNormal="112" workbookViewId="0" topLeftCell="A1">
      <selection activeCell="K5" sqref="K5"/>
    </sheetView>
  </sheetViews>
  <sheetFormatPr defaultColWidth="11.421875" defaultRowHeight="12.75"/>
  <cols>
    <col min="1" max="1" width="3.7109375" style="0" customWidth="1"/>
    <col min="2" max="2" width="27.140625" style="0" customWidth="1"/>
    <col min="3" max="3" width="15.140625" style="0" customWidth="1"/>
    <col min="4" max="4" width="5.140625" style="0" customWidth="1"/>
    <col min="5" max="5" width="4.00390625" style="0" customWidth="1"/>
    <col min="6" max="6" width="27.7109375" style="0" customWidth="1"/>
    <col min="7" max="7" width="8.8515625" style="0" customWidth="1"/>
    <col min="8" max="8" width="4.00390625" style="0" customWidth="1"/>
    <col min="9" max="9" width="7.57421875" style="0" customWidth="1"/>
    <col min="10" max="10" width="6.8515625" style="0" customWidth="1"/>
    <col min="11" max="11" width="10.00390625" style="0" customWidth="1"/>
    <col min="12" max="12" width="6.28125" style="0" customWidth="1"/>
    <col min="15" max="15" width="5.28125" style="0" customWidth="1"/>
    <col min="16" max="16" width="3.8515625" style="0" customWidth="1"/>
    <col min="17" max="17" width="40.421875" style="0" customWidth="1"/>
    <col min="18" max="18" width="5.421875" style="0" customWidth="1"/>
    <col min="19" max="21" width="7.7109375" style="0" customWidth="1"/>
    <col min="22" max="30" width="7.57421875" style="0" customWidth="1"/>
    <col min="31" max="31" width="7.140625" style="0" customWidth="1"/>
    <col min="32" max="32" width="7.57421875" style="0" customWidth="1"/>
    <col min="33" max="33" width="7.140625" style="0" customWidth="1"/>
    <col min="36" max="36" width="42.8515625" style="0" bestFit="1" customWidth="1"/>
    <col min="37" max="37" width="12.28125" style="0" customWidth="1"/>
    <col min="41" max="41" width="13.28125" style="0" customWidth="1"/>
    <col min="42" max="42" width="12.140625" style="0" customWidth="1"/>
    <col min="43" max="43" width="12.00390625" style="0" customWidth="1"/>
    <col min="45" max="45" width="7.57421875" style="0" customWidth="1"/>
    <col min="46" max="46" width="40.421875" style="0" bestFit="1" customWidth="1"/>
    <col min="50" max="50" width="21.00390625" style="0" customWidth="1"/>
    <col min="53" max="53" width="8.140625" style="0" customWidth="1"/>
    <col min="54" max="54" width="33.00390625" style="0" customWidth="1"/>
    <col min="55" max="55" width="11.140625" style="0" customWidth="1"/>
    <col min="57" max="57" width="14.421875" style="0" customWidth="1"/>
    <col min="58" max="58" width="32.140625" style="0" customWidth="1"/>
    <col min="59" max="59" width="14.421875" style="0" customWidth="1"/>
  </cols>
  <sheetData>
    <row r="1" spans="1:60" ht="12.75">
      <c r="A1" s="8" t="s">
        <v>23</v>
      </c>
      <c r="B1" s="8"/>
      <c r="C1" s="9"/>
      <c r="D1" s="10"/>
      <c r="E1" s="8" t="s">
        <v>3</v>
      </c>
      <c r="F1" s="8"/>
      <c r="G1" s="9"/>
      <c r="H1" s="9"/>
      <c r="I1" s="9"/>
      <c r="J1" s="9"/>
      <c r="K1" s="9"/>
      <c r="L1" s="9"/>
      <c r="M1" s="9"/>
      <c r="N1" s="9"/>
      <c r="P1" s="8" t="s">
        <v>18</v>
      </c>
      <c r="Q1" s="8"/>
      <c r="R1" s="8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I1" s="8" t="s">
        <v>94</v>
      </c>
      <c r="AJ1" s="8"/>
      <c r="AK1" s="8"/>
      <c r="AL1" s="9"/>
      <c r="AN1" s="8" t="s">
        <v>218</v>
      </c>
      <c r="AO1" s="9"/>
      <c r="AP1" s="9"/>
      <c r="AQ1" s="9"/>
      <c r="AS1" s="8" t="s">
        <v>217</v>
      </c>
      <c r="AT1" s="8"/>
      <c r="AV1" s="8" t="s">
        <v>260</v>
      </c>
      <c r="AW1" s="9"/>
      <c r="AX1" s="9"/>
      <c r="BA1" s="8" t="s">
        <v>324</v>
      </c>
      <c r="BB1" s="9"/>
      <c r="BC1" s="9"/>
      <c r="BE1" s="11"/>
      <c r="BF1" s="10"/>
      <c r="BG1" s="10"/>
      <c r="BH1" s="10"/>
    </row>
    <row r="2" spans="1:59" ht="63.75">
      <c r="A2" s="7" t="s">
        <v>24</v>
      </c>
      <c r="B2" s="7" t="s">
        <v>19</v>
      </c>
      <c r="C2" s="7" t="s">
        <v>2</v>
      </c>
      <c r="D2" s="11"/>
      <c r="E2" s="7" t="s">
        <v>24</v>
      </c>
      <c r="F2" s="4" t="s">
        <v>1</v>
      </c>
      <c r="G2" s="5" t="s">
        <v>2</v>
      </c>
      <c r="H2" s="5" t="s">
        <v>229</v>
      </c>
      <c r="I2" s="5" t="s">
        <v>147</v>
      </c>
      <c r="J2" s="5" t="s">
        <v>56</v>
      </c>
      <c r="K2" s="5" t="s">
        <v>67</v>
      </c>
      <c r="L2" s="4" t="s">
        <v>0</v>
      </c>
      <c r="M2" s="4" t="s">
        <v>252</v>
      </c>
      <c r="N2" s="4" t="s">
        <v>254</v>
      </c>
      <c r="P2" s="7" t="s">
        <v>24</v>
      </c>
      <c r="Q2" s="7" t="s">
        <v>5</v>
      </c>
      <c r="R2" s="7" t="s">
        <v>2</v>
      </c>
      <c r="S2" s="7" t="s">
        <v>6</v>
      </c>
      <c r="T2" s="7" t="s">
        <v>7</v>
      </c>
      <c r="U2" s="7" t="s">
        <v>8</v>
      </c>
      <c r="V2" s="7" t="s">
        <v>9</v>
      </c>
      <c r="W2" s="7" t="s">
        <v>10</v>
      </c>
      <c r="X2" s="7" t="s">
        <v>11</v>
      </c>
      <c r="Y2" s="7" t="s">
        <v>12</v>
      </c>
      <c r="Z2" s="7" t="s">
        <v>13</v>
      </c>
      <c r="AA2" s="7" t="s">
        <v>14</v>
      </c>
      <c r="AB2" s="7" t="s">
        <v>15</v>
      </c>
      <c r="AC2" s="7" t="s">
        <v>16</v>
      </c>
      <c r="AD2" s="7" t="s">
        <v>17</v>
      </c>
      <c r="AE2" s="7" t="s">
        <v>72</v>
      </c>
      <c r="AF2" s="7" t="s">
        <v>73</v>
      </c>
      <c r="AG2" s="7" t="s">
        <v>74</v>
      </c>
      <c r="AI2" s="7" t="s">
        <v>24</v>
      </c>
      <c r="AJ2" s="7" t="s">
        <v>91</v>
      </c>
      <c r="AK2" s="7" t="s">
        <v>2</v>
      </c>
      <c r="AL2" s="7" t="s">
        <v>212</v>
      </c>
      <c r="AN2" s="7" t="s">
        <v>24</v>
      </c>
      <c r="AO2" s="7" t="s">
        <v>136</v>
      </c>
      <c r="AP2" s="7" t="s">
        <v>137</v>
      </c>
      <c r="AQ2" s="7" t="s">
        <v>138</v>
      </c>
      <c r="AS2" s="7" t="s">
        <v>24</v>
      </c>
      <c r="AT2" s="7" t="s">
        <v>219</v>
      </c>
      <c r="AV2" s="7" t="s">
        <v>24</v>
      </c>
      <c r="AW2" s="7" t="s">
        <v>261</v>
      </c>
      <c r="AX2" s="7" t="s">
        <v>34</v>
      </c>
      <c r="BA2" s="7" t="s">
        <v>24</v>
      </c>
      <c r="BB2" s="7" t="s">
        <v>323</v>
      </c>
      <c r="BC2" s="244"/>
      <c r="BE2" s="11"/>
      <c r="BF2" s="11"/>
      <c r="BG2" s="253"/>
    </row>
    <row r="3" spans="1:58" ht="12.75">
      <c r="A3">
        <v>1</v>
      </c>
      <c r="B3" t="s">
        <v>149</v>
      </c>
      <c r="C3" t="s">
        <v>20</v>
      </c>
      <c r="E3">
        <v>1</v>
      </c>
      <c r="F3" s="33" t="s">
        <v>135</v>
      </c>
      <c r="G3" s="1" t="s">
        <v>57</v>
      </c>
      <c r="H3" s="1"/>
      <c r="I3" s="1" t="s">
        <v>148</v>
      </c>
      <c r="J3" s="28"/>
      <c r="K3" s="2"/>
      <c r="L3" s="143"/>
      <c r="M3" s="143"/>
      <c r="N3" s="143"/>
      <c r="P3">
        <v>1</v>
      </c>
      <c r="Q3" t="s">
        <v>242</v>
      </c>
      <c r="R3" t="s">
        <v>4</v>
      </c>
      <c r="S3">
        <v>2</v>
      </c>
      <c r="T3">
        <v>3</v>
      </c>
      <c r="U3">
        <v>4</v>
      </c>
      <c r="V3" t="s">
        <v>255</v>
      </c>
      <c r="W3" t="s">
        <v>255</v>
      </c>
      <c r="X3">
        <v>3</v>
      </c>
      <c r="Y3" t="s">
        <v>255</v>
      </c>
      <c r="Z3" t="s">
        <v>255</v>
      </c>
      <c r="AA3">
        <v>3</v>
      </c>
      <c r="AB3">
        <v>1</v>
      </c>
      <c r="AC3">
        <v>1</v>
      </c>
      <c r="AD3">
        <v>1</v>
      </c>
      <c r="AE3" t="s">
        <v>75</v>
      </c>
      <c r="AF3" t="s">
        <v>75</v>
      </c>
      <c r="AG3" t="s">
        <v>75</v>
      </c>
      <c r="AI3">
        <v>1</v>
      </c>
      <c r="AJ3" s="35" t="s">
        <v>220</v>
      </c>
      <c r="AK3" t="s">
        <v>214</v>
      </c>
      <c r="AL3" s="142" t="s">
        <v>213</v>
      </c>
      <c r="AN3">
        <v>1</v>
      </c>
      <c r="AO3" s="35" t="s">
        <v>145</v>
      </c>
      <c r="AP3" s="35" t="s">
        <v>145</v>
      </c>
      <c r="AQ3" s="35" t="s">
        <v>145</v>
      </c>
      <c r="AS3">
        <v>1</v>
      </c>
      <c r="AT3" s="35" t="s">
        <v>221</v>
      </c>
      <c r="AV3">
        <v>1</v>
      </c>
      <c r="AW3" t="s">
        <v>254</v>
      </c>
      <c r="BA3">
        <v>1</v>
      </c>
      <c r="BB3" s="35" t="s">
        <v>326</v>
      </c>
      <c r="BF3" s="35"/>
    </row>
    <row r="4" spans="1:54" ht="15.75">
      <c r="A4">
        <v>2</v>
      </c>
      <c r="B4" t="s">
        <v>70</v>
      </c>
      <c r="C4" t="s">
        <v>21</v>
      </c>
      <c r="E4">
        <v>2</v>
      </c>
      <c r="F4" s="1" t="s">
        <v>367</v>
      </c>
      <c r="G4" s="1" t="s">
        <v>4</v>
      </c>
      <c r="H4" s="1" t="s">
        <v>228</v>
      </c>
      <c r="I4" s="1" t="s">
        <v>148</v>
      </c>
      <c r="J4">
        <v>56.98</v>
      </c>
      <c r="K4">
        <v>3.822E-05</v>
      </c>
      <c r="L4" s="143" t="s">
        <v>66</v>
      </c>
      <c r="M4" s="143"/>
      <c r="N4" s="143">
        <v>1</v>
      </c>
      <c r="P4">
        <v>2</v>
      </c>
      <c r="Q4" t="s">
        <v>243</v>
      </c>
      <c r="R4" t="s">
        <v>27</v>
      </c>
      <c r="S4">
        <v>1</v>
      </c>
      <c r="T4">
        <v>2</v>
      </c>
      <c r="U4">
        <v>3</v>
      </c>
      <c r="V4" t="s">
        <v>255</v>
      </c>
      <c r="W4">
        <v>3</v>
      </c>
      <c r="X4">
        <v>3</v>
      </c>
      <c r="Y4" t="s">
        <v>255</v>
      </c>
      <c r="Z4">
        <v>3</v>
      </c>
      <c r="AA4">
        <v>3</v>
      </c>
      <c r="AB4">
        <v>1</v>
      </c>
      <c r="AC4">
        <v>1</v>
      </c>
      <c r="AD4">
        <v>1</v>
      </c>
      <c r="AE4" t="s">
        <v>75</v>
      </c>
      <c r="AF4" t="s">
        <v>75</v>
      </c>
      <c r="AG4" t="s">
        <v>75</v>
      </c>
      <c r="AI4">
        <v>2</v>
      </c>
      <c r="AJ4" t="s">
        <v>188</v>
      </c>
      <c r="AK4" t="s">
        <v>211</v>
      </c>
      <c r="AL4" s="142" t="s">
        <v>199</v>
      </c>
      <c r="AN4">
        <v>2</v>
      </c>
      <c r="AO4" t="s">
        <v>139</v>
      </c>
      <c r="AP4" t="s">
        <v>142</v>
      </c>
      <c r="AQ4" t="s">
        <v>141</v>
      </c>
      <c r="AS4">
        <v>2</v>
      </c>
      <c r="AT4" t="s">
        <v>222</v>
      </c>
      <c r="AV4">
        <v>2</v>
      </c>
      <c r="AW4" t="s">
        <v>254</v>
      </c>
      <c r="AX4">
        <v>2</v>
      </c>
      <c r="BA4">
        <v>2</v>
      </c>
      <c r="BB4" t="s">
        <v>347</v>
      </c>
    </row>
    <row r="5" spans="1:54" ht="15.75">
      <c r="A5">
        <v>3</v>
      </c>
      <c r="B5" t="s">
        <v>71</v>
      </c>
      <c r="C5" t="s">
        <v>22</v>
      </c>
      <c r="E5">
        <v>3</v>
      </c>
      <c r="F5" s="3" t="s">
        <v>368</v>
      </c>
      <c r="G5" s="1" t="s">
        <v>241</v>
      </c>
      <c r="H5" s="1" t="s">
        <v>140</v>
      </c>
      <c r="I5" s="1" t="s">
        <v>148</v>
      </c>
      <c r="J5">
        <v>77.4</v>
      </c>
      <c r="K5">
        <v>0.0404</v>
      </c>
      <c r="L5" s="143" t="s">
        <v>65</v>
      </c>
      <c r="M5" s="143"/>
      <c r="N5" s="143">
        <v>1</v>
      </c>
      <c r="P5">
        <v>3</v>
      </c>
      <c r="Q5" t="s">
        <v>77</v>
      </c>
      <c r="R5" t="s">
        <v>76</v>
      </c>
      <c r="S5">
        <v>1</v>
      </c>
      <c r="T5">
        <v>1</v>
      </c>
      <c r="U5">
        <v>2</v>
      </c>
      <c r="V5" t="s">
        <v>75</v>
      </c>
      <c r="W5" t="s">
        <v>75</v>
      </c>
      <c r="X5" t="s">
        <v>75</v>
      </c>
      <c r="Y5">
        <v>1</v>
      </c>
      <c r="Z5">
        <v>2</v>
      </c>
      <c r="AA5">
        <v>3</v>
      </c>
      <c r="AB5" t="s">
        <v>75</v>
      </c>
      <c r="AC5" t="s">
        <v>75</v>
      </c>
      <c r="AD5" t="s">
        <v>75</v>
      </c>
      <c r="AE5">
        <v>1</v>
      </c>
      <c r="AF5">
        <v>1</v>
      </c>
      <c r="AG5">
        <v>2</v>
      </c>
      <c r="AI5">
        <v>3</v>
      </c>
      <c r="AJ5" t="s">
        <v>187</v>
      </c>
      <c r="AK5" t="s">
        <v>211</v>
      </c>
      <c r="AL5" s="142" t="s">
        <v>200</v>
      </c>
      <c r="AN5">
        <v>3</v>
      </c>
      <c r="AO5" t="s">
        <v>140</v>
      </c>
      <c r="AP5" t="s">
        <v>65</v>
      </c>
      <c r="AQ5" t="s">
        <v>143</v>
      </c>
      <c r="AS5">
        <v>3</v>
      </c>
      <c r="AT5" t="s">
        <v>223</v>
      </c>
      <c r="AV5">
        <v>3</v>
      </c>
      <c r="AW5" t="s">
        <v>254</v>
      </c>
      <c r="AX5">
        <v>3</v>
      </c>
      <c r="BA5">
        <v>3</v>
      </c>
      <c r="BB5" t="s">
        <v>325</v>
      </c>
    </row>
    <row r="6" spans="5:54" ht="12.75">
      <c r="E6">
        <v>4</v>
      </c>
      <c r="F6" s="3" t="s">
        <v>369</v>
      </c>
      <c r="G6" s="1" t="s">
        <v>241</v>
      </c>
      <c r="H6" s="1" t="s">
        <v>140</v>
      </c>
      <c r="I6" s="1" t="s">
        <v>148</v>
      </c>
      <c r="J6">
        <v>74.1</v>
      </c>
      <c r="K6">
        <v>0.043</v>
      </c>
      <c r="L6" s="143" t="s">
        <v>65</v>
      </c>
      <c r="M6" s="143"/>
      <c r="N6" s="143">
        <v>1</v>
      </c>
      <c r="P6">
        <v>4</v>
      </c>
      <c r="Q6" t="s">
        <v>78</v>
      </c>
      <c r="R6" t="s">
        <v>79</v>
      </c>
      <c r="S6">
        <v>1</v>
      </c>
      <c r="T6">
        <v>2</v>
      </c>
      <c r="U6">
        <v>3</v>
      </c>
      <c r="V6" t="s">
        <v>75</v>
      </c>
      <c r="W6" t="s">
        <v>75</v>
      </c>
      <c r="X6" t="s">
        <v>75</v>
      </c>
      <c r="Y6">
        <v>1</v>
      </c>
      <c r="Z6">
        <v>1</v>
      </c>
      <c r="AA6">
        <v>1</v>
      </c>
      <c r="AB6" t="s">
        <v>75</v>
      </c>
      <c r="AC6" t="s">
        <v>75</v>
      </c>
      <c r="AD6" t="s">
        <v>75</v>
      </c>
      <c r="AE6">
        <v>1</v>
      </c>
      <c r="AF6">
        <v>1</v>
      </c>
      <c r="AG6">
        <v>2</v>
      </c>
      <c r="AI6">
        <v>4</v>
      </c>
      <c r="AJ6" t="s">
        <v>197</v>
      </c>
      <c r="AK6" t="s">
        <v>211</v>
      </c>
      <c r="AL6" s="142" t="s">
        <v>201</v>
      </c>
      <c r="AS6">
        <v>4</v>
      </c>
      <c r="AT6" t="s">
        <v>224</v>
      </c>
      <c r="AV6">
        <v>1</v>
      </c>
      <c r="AW6" t="s">
        <v>274</v>
      </c>
      <c r="AX6" t="s">
        <v>305</v>
      </c>
      <c r="BA6">
        <v>4</v>
      </c>
      <c r="BB6" t="s">
        <v>311</v>
      </c>
    </row>
    <row r="7" spans="5:54" ht="12.75">
      <c r="E7">
        <v>5</v>
      </c>
      <c r="F7" s="3" t="s">
        <v>370</v>
      </c>
      <c r="G7" s="1" t="s">
        <v>4</v>
      </c>
      <c r="H7" s="1" t="s">
        <v>228</v>
      </c>
      <c r="I7" s="1" t="s">
        <v>148</v>
      </c>
      <c r="J7">
        <v>63.1</v>
      </c>
      <c r="K7">
        <v>0.0473</v>
      </c>
      <c r="L7" s="143" t="s">
        <v>65</v>
      </c>
      <c r="M7" s="143" t="s">
        <v>253</v>
      </c>
      <c r="N7" s="143">
        <v>1</v>
      </c>
      <c r="P7">
        <v>5</v>
      </c>
      <c r="Q7" t="s">
        <v>80</v>
      </c>
      <c r="R7" t="s">
        <v>81</v>
      </c>
      <c r="S7">
        <v>1</v>
      </c>
      <c r="T7">
        <v>1</v>
      </c>
      <c r="U7">
        <v>2</v>
      </c>
      <c r="V7" t="s">
        <v>75</v>
      </c>
      <c r="W7" t="s">
        <v>75</v>
      </c>
      <c r="X7" t="s">
        <v>75</v>
      </c>
      <c r="Y7">
        <v>1</v>
      </c>
      <c r="Z7">
        <v>1</v>
      </c>
      <c r="AA7">
        <v>1</v>
      </c>
      <c r="AB7" t="s">
        <v>75</v>
      </c>
      <c r="AC7" t="s">
        <v>75</v>
      </c>
      <c r="AD7" t="s">
        <v>75</v>
      </c>
      <c r="AE7" t="s">
        <v>75</v>
      </c>
      <c r="AF7" t="s">
        <v>75</v>
      </c>
      <c r="AG7" t="s">
        <v>75</v>
      </c>
      <c r="AI7">
        <v>5</v>
      </c>
      <c r="AJ7" t="s">
        <v>189</v>
      </c>
      <c r="AK7" t="s">
        <v>211</v>
      </c>
      <c r="AL7" s="142">
        <v>2</v>
      </c>
      <c r="AS7">
        <v>5</v>
      </c>
      <c r="AT7" t="s">
        <v>225</v>
      </c>
      <c r="AV7">
        <v>2</v>
      </c>
      <c r="AW7" t="s">
        <v>274</v>
      </c>
      <c r="AX7" t="s">
        <v>275</v>
      </c>
      <c r="BA7">
        <v>5</v>
      </c>
      <c r="BB7" t="s">
        <v>312</v>
      </c>
    </row>
    <row r="8" spans="5:57" ht="12.75">
      <c r="E8">
        <v>6</v>
      </c>
      <c r="F8" s="3" t="s">
        <v>371</v>
      </c>
      <c r="G8" s="1" t="s">
        <v>241</v>
      </c>
      <c r="H8" s="1" t="s">
        <v>228</v>
      </c>
      <c r="I8" s="1" t="s">
        <v>148</v>
      </c>
      <c r="J8">
        <v>63.1</v>
      </c>
      <c r="K8">
        <v>0.0473</v>
      </c>
      <c r="L8" s="143" t="s">
        <v>65</v>
      </c>
      <c r="M8" s="143"/>
      <c r="N8" s="143">
        <v>1</v>
      </c>
      <c r="P8">
        <v>6</v>
      </c>
      <c r="Q8" t="s">
        <v>266</v>
      </c>
      <c r="R8" t="s">
        <v>82</v>
      </c>
      <c r="S8">
        <v>1</v>
      </c>
      <c r="T8">
        <v>1</v>
      </c>
      <c r="U8">
        <v>2</v>
      </c>
      <c r="V8" t="s">
        <v>75</v>
      </c>
      <c r="W8" t="s">
        <v>75</v>
      </c>
      <c r="X8" t="s">
        <v>75</v>
      </c>
      <c r="Y8">
        <v>2</v>
      </c>
      <c r="Z8">
        <v>2</v>
      </c>
      <c r="AA8">
        <v>3</v>
      </c>
      <c r="AB8" t="s">
        <v>75</v>
      </c>
      <c r="AC8" t="s">
        <v>75</v>
      </c>
      <c r="AD8" t="s">
        <v>75</v>
      </c>
      <c r="AE8">
        <v>1</v>
      </c>
      <c r="AF8">
        <v>1</v>
      </c>
      <c r="AG8">
        <v>2</v>
      </c>
      <c r="AI8">
        <v>6</v>
      </c>
      <c r="AJ8" t="s">
        <v>190</v>
      </c>
      <c r="AK8" t="s">
        <v>211</v>
      </c>
      <c r="AL8" s="142">
        <v>3</v>
      </c>
      <c r="AS8">
        <v>6</v>
      </c>
      <c r="AT8" t="s">
        <v>226</v>
      </c>
      <c r="BA8">
        <v>6</v>
      </c>
      <c r="BB8" t="s">
        <v>313</v>
      </c>
      <c r="BE8" s="243"/>
    </row>
    <row r="9" spans="5:57" ht="12.75">
      <c r="E9">
        <v>7</v>
      </c>
      <c r="F9" s="3" t="s">
        <v>372</v>
      </c>
      <c r="G9" s="1" t="s">
        <v>241</v>
      </c>
      <c r="H9" s="1" t="s">
        <v>228</v>
      </c>
      <c r="I9" s="1" t="s">
        <v>148</v>
      </c>
      <c r="J9">
        <v>63.1</v>
      </c>
      <c r="K9">
        <v>0.0473</v>
      </c>
      <c r="L9" s="143" t="s">
        <v>65</v>
      </c>
      <c r="M9" s="143"/>
      <c r="N9" s="143">
        <v>1</v>
      </c>
      <c r="P9">
        <v>7</v>
      </c>
      <c r="Q9" t="s">
        <v>244</v>
      </c>
      <c r="R9" t="s">
        <v>241</v>
      </c>
      <c r="S9">
        <v>2</v>
      </c>
      <c r="T9">
        <v>3</v>
      </c>
      <c r="U9">
        <v>4</v>
      </c>
      <c r="V9" t="s">
        <v>255</v>
      </c>
      <c r="W9" t="s">
        <v>255</v>
      </c>
      <c r="X9" t="s">
        <v>255</v>
      </c>
      <c r="Y9" t="s">
        <v>255</v>
      </c>
      <c r="Z9" t="s">
        <v>255</v>
      </c>
      <c r="AA9" t="s">
        <v>255</v>
      </c>
      <c r="AB9">
        <v>1</v>
      </c>
      <c r="AC9">
        <v>1</v>
      </c>
      <c r="AD9">
        <v>1</v>
      </c>
      <c r="AE9" t="s">
        <v>75</v>
      </c>
      <c r="AF9" t="s">
        <v>75</v>
      </c>
      <c r="AG9" t="s">
        <v>75</v>
      </c>
      <c r="AI9">
        <v>7</v>
      </c>
      <c r="AJ9" t="s">
        <v>191</v>
      </c>
      <c r="AK9" t="s">
        <v>211</v>
      </c>
      <c r="AL9" s="142">
        <v>4</v>
      </c>
      <c r="AS9">
        <v>7</v>
      </c>
      <c r="AT9" t="s">
        <v>227</v>
      </c>
      <c r="BA9">
        <v>7</v>
      </c>
      <c r="BB9" t="s">
        <v>314</v>
      </c>
      <c r="BE9" s="248"/>
    </row>
    <row r="10" spans="5:57" ht="12.75">
      <c r="E10">
        <v>8</v>
      </c>
      <c r="F10" s="3" t="s">
        <v>63</v>
      </c>
      <c r="G10" s="1" t="s">
        <v>27</v>
      </c>
      <c r="H10" s="1" t="s">
        <v>140</v>
      </c>
      <c r="I10" s="1" t="s">
        <v>148</v>
      </c>
      <c r="J10">
        <v>99.42</v>
      </c>
      <c r="K10">
        <v>0.01925</v>
      </c>
      <c r="L10" s="143" t="s">
        <v>65</v>
      </c>
      <c r="M10" s="143"/>
      <c r="N10" s="143">
        <v>1</v>
      </c>
      <c r="P10">
        <v>8</v>
      </c>
      <c r="Q10" t="s">
        <v>256</v>
      </c>
      <c r="R10" t="s">
        <v>257</v>
      </c>
      <c r="S10">
        <v>1</v>
      </c>
      <c r="T10">
        <v>1</v>
      </c>
      <c r="U10">
        <v>2</v>
      </c>
      <c r="V10" t="s">
        <v>75</v>
      </c>
      <c r="W10" t="s">
        <v>75</v>
      </c>
      <c r="X10" t="s">
        <v>75</v>
      </c>
      <c r="Y10">
        <v>1</v>
      </c>
      <c r="Z10">
        <v>1</v>
      </c>
      <c r="AA10">
        <v>2</v>
      </c>
      <c r="AB10" t="s">
        <v>75</v>
      </c>
      <c r="AC10" t="s">
        <v>75</v>
      </c>
      <c r="AD10" t="s">
        <v>75</v>
      </c>
      <c r="AE10">
        <v>1</v>
      </c>
      <c r="AF10">
        <v>1</v>
      </c>
      <c r="AG10">
        <v>2</v>
      </c>
      <c r="AI10">
        <v>8</v>
      </c>
      <c r="AJ10" t="s">
        <v>192</v>
      </c>
      <c r="AK10" t="s">
        <v>211</v>
      </c>
      <c r="AL10" s="142">
        <v>5</v>
      </c>
      <c r="BA10">
        <v>8</v>
      </c>
      <c r="BB10" t="s">
        <v>315</v>
      </c>
      <c r="BE10" s="245"/>
    </row>
    <row r="11" spans="5:57" ht="12.75">
      <c r="E11">
        <v>9</v>
      </c>
      <c r="F11" s="3" t="s">
        <v>64</v>
      </c>
      <c r="G11" s="1" t="s">
        <v>27</v>
      </c>
      <c r="H11" s="1" t="s">
        <v>140</v>
      </c>
      <c r="I11" s="1" t="s">
        <v>148</v>
      </c>
      <c r="J11">
        <v>101</v>
      </c>
      <c r="K11">
        <v>0.02405</v>
      </c>
      <c r="L11" s="143" t="s">
        <v>65</v>
      </c>
      <c r="M11" s="143"/>
      <c r="N11" s="143">
        <v>1</v>
      </c>
      <c r="AI11">
        <v>9</v>
      </c>
      <c r="AJ11" t="s">
        <v>193</v>
      </c>
      <c r="AK11" t="s">
        <v>216</v>
      </c>
      <c r="AL11" s="142" t="s">
        <v>202</v>
      </c>
      <c r="BA11">
        <v>9</v>
      </c>
      <c r="BB11" t="s">
        <v>348</v>
      </c>
      <c r="BE11" s="245"/>
    </row>
    <row r="12" spans="5:57" ht="12.75">
      <c r="E12">
        <v>10</v>
      </c>
      <c r="F12" s="3" t="s">
        <v>373</v>
      </c>
      <c r="G12" s="1" t="s">
        <v>27</v>
      </c>
      <c r="H12" s="1" t="s">
        <v>140</v>
      </c>
      <c r="I12" s="1" t="s">
        <v>148</v>
      </c>
      <c r="J12">
        <v>107</v>
      </c>
      <c r="K12">
        <v>0.0282</v>
      </c>
      <c r="L12" s="143" t="s">
        <v>65</v>
      </c>
      <c r="M12" s="143"/>
      <c r="N12" s="143">
        <v>1</v>
      </c>
      <c r="AI12">
        <v>10</v>
      </c>
      <c r="AJ12" t="s">
        <v>115</v>
      </c>
      <c r="AK12" t="s">
        <v>115</v>
      </c>
      <c r="AL12" s="142" t="s">
        <v>203</v>
      </c>
      <c r="BA12">
        <v>10</v>
      </c>
      <c r="BB12" t="s">
        <v>349</v>
      </c>
      <c r="BE12" s="245"/>
    </row>
    <row r="13" spans="5:57" ht="12.75">
      <c r="E13">
        <v>11</v>
      </c>
      <c r="F13" s="3" t="s">
        <v>374</v>
      </c>
      <c r="G13" s="1" t="s">
        <v>27</v>
      </c>
      <c r="H13" s="1" t="s">
        <v>140</v>
      </c>
      <c r="I13" s="1" t="s">
        <v>148</v>
      </c>
      <c r="J13">
        <v>60.44</v>
      </c>
      <c r="K13">
        <v>0.03157</v>
      </c>
      <c r="L13" s="143" t="s">
        <v>65</v>
      </c>
      <c r="M13" s="143" t="s">
        <v>253</v>
      </c>
      <c r="N13" s="143">
        <v>1</v>
      </c>
      <c r="AI13">
        <v>11</v>
      </c>
      <c r="AJ13" t="s">
        <v>93</v>
      </c>
      <c r="AK13" t="s">
        <v>92</v>
      </c>
      <c r="AL13" s="142" t="s">
        <v>204</v>
      </c>
      <c r="BA13">
        <v>11</v>
      </c>
      <c r="BB13" t="s">
        <v>316</v>
      </c>
      <c r="BE13" s="245"/>
    </row>
    <row r="14" spans="5:57" ht="12.75">
      <c r="E14">
        <v>12</v>
      </c>
      <c r="F14" s="3" t="s">
        <v>375</v>
      </c>
      <c r="G14" s="1" t="s">
        <v>4</v>
      </c>
      <c r="H14" s="1" t="s">
        <v>228</v>
      </c>
      <c r="I14" s="1" t="s">
        <v>148</v>
      </c>
      <c r="J14">
        <v>73.3</v>
      </c>
      <c r="K14">
        <v>0.0402</v>
      </c>
      <c r="L14" s="143" t="s">
        <v>65</v>
      </c>
      <c r="M14" s="143" t="s">
        <v>253</v>
      </c>
      <c r="N14" s="143">
        <v>1</v>
      </c>
      <c r="AI14">
        <v>12</v>
      </c>
      <c r="AJ14" t="s">
        <v>92</v>
      </c>
      <c r="AK14" t="s">
        <v>92</v>
      </c>
      <c r="AL14" s="142" t="s">
        <v>205</v>
      </c>
      <c r="BA14">
        <v>12</v>
      </c>
      <c r="BB14" t="s">
        <v>317</v>
      </c>
      <c r="BE14" s="245"/>
    </row>
    <row r="15" spans="5:57" ht="12.75">
      <c r="E15">
        <v>13</v>
      </c>
      <c r="F15" s="3" t="s">
        <v>376</v>
      </c>
      <c r="G15" s="1" t="s">
        <v>4</v>
      </c>
      <c r="H15" s="1" t="s">
        <v>140</v>
      </c>
      <c r="I15" s="1" t="s">
        <v>148</v>
      </c>
      <c r="J15">
        <v>85.08</v>
      </c>
      <c r="K15">
        <v>0.03327</v>
      </c>
      <c r="L15" s="143" t="s">
        <v>65</v>
      </c>
      <c r="M15" s="143" t="s">
        <v>253</v>
      </c>
      <c r="N15" s="143">
        <v>1</v>
      </c>
      <c r="AI15">
        <v>13</v>
      </c>
      <c r="AJ15" t="s">
        <v>194</v>
      </c>
      <c r="AK15" t="s">
        <v>215</v>
      </c>
      <c r="AL15" s="142" t="s">
        <v>206</v>
      </c>
      <c r="BA15">
        <v>13</v>
      </c>
      <c r="BB15" t="s">
        <v>318</v>
      </c>
      <c r="BE15" s="245"/>
    </row>
    <row r="16" spans="5:57" ht="12.75">
      <c r="E16">
        <v>14</v>
      </c>
      <c r="F16" s="1" t="s">
        <v>150</v>
      </c>
      <c r="G16" s="1" t="s">
        <v>27</v>
      </c>
      <c r="H16" s="1" t="s">
        <v>140</v>
      </c>
      <c r="I16" s="1" t="s">
        <v>148</v>
      </c>
      <c r="J16" s="10">
        <v>107</v>
      </c>
      <c r="K16">
        <v>0.0282</v>
      </c>
      <c r="L16" s="143" t="s">
        <v>65</v>
      </c>
      <c r="M16" s="143"/>
      <c r="N16" s="143">
        <v>1</v>
      </c>
      <c r="AI16">
        <v>14</v>
      </c>
      <c r="AJ16" t="s">
        <v>198</v>
      </c>
      <c r="AK16" t="s">
        <v>215</v>
      </c>
      <c r="AL16" s="142" t="s">
        <v>207</v>
      </c>
      <c r="BA16">
        <v>14</v>
      </c>
      <c r="BB16" t="s">
        <v>350</v>
      </c>
      <c r="BE16" s="246"/>
    </row>
    <row r="17" spans="5:57" ht="12.75">
      <c r="E17">
        <v>15</v>
      </c>
      <c r="F17" t="s">
        <v>151</v>
      </c>
      <c r="G17" s="1" t="s">
        <v>27</v>
      </c>
      <c r="H17" s="1" t="s">
        <v>140</v>
      </c>
      <c r="I17" s="1" t="s">
        <v>148</v>
      </c>
      <c r="J17" s="10">
        <v>94.04</v>
      </c>
      <c r="K17">
        <v>0.03416</v>
      </c>
      <c r="L17" s="143" t="s">
        <v>65</v>
      </c>
      <c r="M17" s="143"/>
      <c r="N17" s="143">
        <v>1</v>
      </c>
      <c r="AI17">
        <v>15</v>
      </c>
      <c r="AJ17" t="s">
        <v>195</v>
      </c>
      <c r="AK17" t="s">
        <v>211</v>
      </c>
      <c r="AL17" s="142" t="s">
        <v>208</v>
      </c>
      <c r="BA17">
        <v>15</v>
      </c>
      <c r="BB17" t="s">
        <v>319</v>
      </c>
      <c r="BE17" s="245"/>
    </row>
    <row r="18" spans="5:57" ht="12.75">
      <c r="E18">
        <v>16</v>
      </c>
      <c r="F18" s="1" t="s">
        <v>152</v>
      </c>
      <c r="G18" s="1" t="s">
        <v>27</v>
      </c>
      <c r="H18" s="1" t="s">
        <v>140</v>
      </c>
      <c r="I18" s="1" t="s">
        <v>148</v>
      </c>
      <c r="J18" s="10">
        <v>107</v>
      </c>
      <c r="K18">
        <v>0.0282</v>
      </c>
      <c r="L18" s="143" t="s">
        <v>65</v>
      </c>
      <c r="M18" s="143"/>
      <c r="N18" s="143">
        <v>1</v>
      </c>
      <c r="AI18">
        <v>16</v>
      </c>
      <c r="AJ18" t="s">
        <v>196</v>
      </c>
      <c r="AK18" t="s">
        <v>211</v>
      </c>
      <c r="AL18" s="142" t="s">
        <v>209</v>
      </c>
      <c r="BA18">
        <v>16</v>
      </c>
      <c r="BB18" t="s">
        <v>320</v>
      </c>
      <c r="BE18" s="246"/>
    </row>
    <row r="19" spans="5:57" ht="12.75">
      <c r="E19">
        <v>17</v>
      </c>
      <c r="F19" s="3" t="s">
        <v>377</v>
      </c>
      <c r="G19" s="1" t="s">
        <v>27</v>
      </c>
      <c r="H19" s="1" t="s">
        <v>140</v>
      </c>
      <c r="I19" s="1" t="s">
        <v>148</v>
      </c>
      <c r="J19" s="10">
        <f>98.3</f>
        <v>98.3</v>
      </c>
      <c r="K19">
        <v>0.0267</v>
      </c>
      <c r="L19" s="143" t="s">
        <v>65</v>
      </c>
      <c r="M19" s="143" t="s">
        <v>253</v>
      </c>
      <c r="N19" s="143">
        <v>1</v>
      </c>
      <c r="BA19">
        <v>17</v>
      </c>
      <c r="BB19" t="s">
        <v>321</v>
      </c>
      <c r="BE19" s="246"/>
    </row>
    <row r="20" spans="5:57" ht="12.75">
      <c r="E20">
        <v>18</v>
      </c>
      <c r="F20" t="s">
        <v>378</v>
      </c>
      <c r="G20" t="s">
        <v>27</v>
      </c>
      <c r="H20" t="s">
        <v>140</v>
      </c>
      <c r="I20" t="s">
        <v>27</v>
      </c>
      <c r="J20">
        <v>0</v>
      </c>
      <c r="L20" s="144"/>
      <c r="M20" s="152" t="s">
        <v>253</v>
      </c>
      <c r="N20" s="144"/>
      <c r="BA20">
        <v>18</v>
      </c>
      <c r="BB20" t="s">
        <v>322</v>
      </c>
      <c r="BE20" s="246"/>
    </row>
    <row r="21" spans="5:57" ht="12.75">
      <c r="E21">
        <v>19</v>
      </c>
      <c r="F21" t="s">
        <v>379</v>
      </c>
      <c r="G21" t="s">
        <v>4</v>
      </c>
      <c r="H21" t="s">
        <v>228</v>
      </c>
      <c r="I21" t="s">
        <v>27</v>
      </c>
      <c r="J21">
        <v>0</v>
      </c>
      <c r="L21" s="144"/>
      <c r="M21" s="152" t="s">
        <v>253</v>
      </c>
      <c r="N21" s="144"/>
      <c r="BE21" s="246"/>
    </row>
    <row r="22" spans="5:57" ht="12.75">
      <c r="E22">
        <v>20</v>
      </c>
      <c r="F22" s="1" t="s">
        <v>68</v>
      </c>
      <c r="G22" s="1" t="s">
        <v>27</v>
      </c>
      <c r="H22" s="1" t="s">
        <v>140</v>
      </c>
      <c r="I22" s="1" t="s">
        <v>57</v>
      </c>
      <c r="L22" s="143"/>
      <c r="M22" s="143"/>
      <c r="N22" s="143"/>
      <c r="BE22" s="246"/>
    </row>
    <row r="23" spans="5:57" ht="12.75">
      <c r="E23">
        <v>21</v>
      </c>
      <c r="F23" s="1" t="s">
        <v>69</v>
      </c>
      <c r="G23" s="1" t="s">
        <v>4</v>
      </c>
      <c r="H23" s="1" t="s">
        <v>228</v>
      </c>
      <c r="I23" s="1" t="s">
        <v>57</v>
      </c>
      <c r="L23" s="143"/>
      <c r="M23" s="143"/>
      <c r="N23" s="143"/>
      <c r="BE23" s="246"/>
    </row>
    <row r="24" spans="5:57" ht="12.75">
      <c r="E24">
        <v>22</v>
      </c>
      <c r="F24" s="3" t="s">
        <v>368</v>
      </c>
      <c r="G24" t="s">
        <v>241</v>
      </c>
      <c r="H24" t="s">
        <v>140</v>
      </c>
      <c r="I24" t="s">
        <v>148</v>
      </c>
      <c r="J24">
        <v>77.4</v>
      </c>
      <c r="K24">
        <v>0.0404</v>
      </c>
      <c r="L24" s="143" t="s">
        <v>65</v>
      </c>
      <c r="M24" s="143"/>
      <c r="N24" s="143">
        <v>1</v>
      </c>
      <c r="BE24" s="246"/>
    </row>
    <row r="25" spans="5:57" ht="12.75">
      <c r="E25">
        <v>23</v>
      </c>
      <c r="F25" s="3" t="s">
        <v>240</v>
      </c>
      <c r="G25" t="s">
        <v>4</v>
      </c>
      <c r="H25" t="s">
        <v>140</v>
      </c>
      <c r="I25" t="s">
        <v>148</v>
      </c>
      <c r="J25" s="10">
        <v>77.4</v>
      </c>
      <c r="K25" s="10">
        <v>0.04018</v>
      </c>
      <c r="L25" s="143" t="s">
        <v>65</v>
      </c>
      <c r="M25" s="143"/>
      <c r="N25" s="143">
        <v>1</v>
      </c>
      <c r="BE25" s="246"/>
    </row>
    <row r="26" spans="5:57" ht="12.75">
      <c r="E26">
        <v>24</v>
      </c>
      <c r="F26" s="144" t="s">
        <v>359</v>
      </c>
      <c r="G26" s="144" t="s">
        <v>4</v>
      </c>
      <c r="H26" s="144" t="s">
        <v>140</v>
      </c>
      <c r="I26" s="144" t="s">
        <v>148</v>
      </c>
      <c r="J26">
        <v>73.3</v>
      </c>
      <c r="K26">
        <v>0.0402</v>
      </c>
      <c r="L26" s="143" t="s">
        <v>65</v>
      </c>
      <c r="M26" s="152" t="s">
        <v>253</v>
      </c>
      <c r="N26" s="143">
        <v>1</v>
      </c>
      <c r="BE26" s="245"/>
    </row>
    <row r="27" spans="5:57" ht="12.75">
      <c r="E27">
        <v>25</v>
      </c>
      <c r="F27" s="144" t="s">
        <v>360</v>
      </c>
      <c r="G27" s="144" t="s">
        <v>4</v>
      </c>
      <c r="H27" s="144" t="s">
        <v>140</v>
      </c>
      <c r="I27" s="144" t="s">
        <v>148</v>
      </c>
      <c r="J27">
        <v>73.3</v>
      </c>
      <c r="K27">
        <v>0.0402</v>
      </c>
      <c r="L27" s="143" t="s">
        <v>65</v>
      </c>
      <c r="M27" s="152" t="s">
        <v>253</v>
      </c>
      <c r="N27" s="309">
        <v>1</v>
      </c>
      <c r="BE27" s="247"/>
    </row>
    <row r="28" spans="5:14" ht="12.75">
      <c r="E28">
        <v>26</v>
      </c>
      <c r="F28" s="144" t="s">
        <v>361</v>
      </c>
      <c r="G28" s="144" t="s">
        <v>27</v>
      </c>
      <c r="H28" s="144" t="s">
        <v>140</v>
      </c>
      <c r="I28" s="144" t="s">
        <v>148</v>
      </c>
      <c r="J28">
        <v>53.95</v>
      </c>
      <c r="K28">
        <v>0.01313</v>
      </c>
      <c r="L28" s="152" t="s">
        <v>65</v>
      </c>
      <c r="M28" s="152" t="s">
        <v>253</v>
      </c>
      <c r="N28" s="309">
        <v>1</v>
      </c>
    </row>
    <row r="29" spans="7:14" ht="12.75">
      <c r="G29" s="1"/>
      <c r="H29" s="1"/>
      <c r="I29" s="1"/>
      <c r="L29" s="6"/>
      <c r="M29" s="6"/>
      <c r="N29" s="6"/>
    </row>
    <row r="30" spans="6:14" ht="12.75">
      <c r="F30" s="3"/>
      <c r="G30" s="1"/>
      <c r="H30" s="1"/>
      <c r="I30" s="1"/>
      <c r="L30" s="6"/>
      <c r="M30" s="6"/>
      <c r="N30" s="6"/>
    </row>
    <row r="32" spans="6:14" ht="12.75">
      <c r="F32" s="1" t="s">
        <v>146</v>
      </c>
      <c r="L32" s="6"/>
      <c r="M32" s="6"/>
      <c r="N32" s="6"/>
    </row>
    <row r="33" ht="12.75">
      <c r="F33" s="144" t="s">
        <v>357</v>
      </c>
    </row>
  </sheetData>
  <sheetProtection password="D51C" sheet="1" objects="1" scenarios="1"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2"/>
  <dimension ref="A1:S45"/>
  <sheetViews>
    <sheetView zoomScalePageLayoutView="0" workbookViewId="0" topLeftCell="A1">
      <selection activeCell="H19" sqref="H19"/>
    </sheetView>
  </sheetViews>
  <sheetFormatPr defaultColWidth="11.421875" defaultRowHeight="12.75"/>
  <cols>
    <col min="1" max="1" width="5.140625" style="0" bestFit="1" customWidth="1"/>
    <col min="2" max="2" width="24.8515625" style="0" bestFit="1" customWidth="1"/>
    <col min="3" max="3" width="27.00390625" style="0" bestFit="1" customWidth="1"/>
    <col min="4" max="4" width="16.7109375" style="0" bestFit="1" customWidth="1"/>
    <col min="5" max="5" width="15.421875" style="0" bestFit="1" customWidth="1"/>
    <col min="6" max="6" width="23.421875" style="0" bestFit="1" customWidth="1"/>
    <col min="7" max="7" width="22.00390625" style="0" bestFit="1" customWidth="1"/>
    <col min="8" max="8" width="20.7109375" style="0" bestFit="1" customWidth="1"/>
    <col min="9" max="9" width="21.7109375" style="0" bestFit="1" customWidth="1"/>
    <col min="10" max="10" width="25.28125" style="0" bestFit="1" customWidth="1"/>
    <col min="11" max="11" width="18.00390625" style="0" bestFit="1" customWidth="1"/>
    <col min="12" max="12" width="17.140625" style="0" bestFit="1" customWidth="1"/>
    <col min="13" max="13" width="22.00390625" style="0" bestFit="1" customWidth="1"/>
    <col min="14" max="14" width="20.7109375" style="0" bestFit="1" customWidth="1"/>
    <col min="15" max="15" width="26.8515625" style="0" bestFit="1" customWidth="1"/>
    <col min="16" max="16" width="19.28125" style="0" bestFit="1" customWidth="1"/>
    <col min="17" max="17" width="22.8515625" style="0" bestFit="1" customWidth="1"/>
    <col min="18" max="18" width="29.00390625" style="0" bestFit="1" customWidth="1"/>
    <col min="19" max="19" width="18.00390625" style="0" bestFit="1" customWidth="1"/>
  </cols>
  <sheetData>
    <row r="1" spans="1:2" ht="12.75">
      <c r="A1" t="s">
        <v>177</v>
      </c>
      <c r="B1" t="s">
        <v>173</v>
      </c>
    </row>
    <row r="2" spans="1:7" ht="12.75">
      <c r="A2" t="s">
        <v>176</v>
      </c>
      <c r="B2" t="s">
        <v>230</v>
      </c>
      <c r="C2" t="s">
        <v>153</v>
      </c>
      <c r="D2" t="s">
        <v>232</v>
      </c>
      <c r="E2" t="s">
        <v>154</v>
      </c>
      <c r="F2" t="s">
        <v>128</v>
      </c>
      <c r="G2" t="s">
        <v>155</v>
      </c>
    </row>
    <row r="3" spans="1:7" ht="12.75">
      <c r="A3">
        <f>IF(EXACT(Inicio!$AA$2,1),"","&gt;")</f>
      </c>
      <c r="B3">
        <f>IF(EXACT(A3,""),"",IF(OR(ISBLANK(Inicio!L5),EXACT(Inicio!L5,"")),"",Inicio!L5))</f>
      </c>
      <c r="C3">
        <f>IF(EXACT(A3,""),"",LOOKUP(Inicio!$AA$2,Datos!$AI$4:Datos!$AI$18,Datos!$AJ$4:Datos!$AJ$18))</f>
      </c>
      <c r="D3">
        <f>IF(EXACT(A3,""),"",LOOKUP(Inicio!$AA$2,Datos!$AI$4:Datos!$AI$18,Datos!$AL$4:Datos!$AL$18))</f>
      </c>
      <c r="E3">
        <f>IF(EXACT(A3,""),"",T(Inicio!$M$3))</f>
      </c>
      <c r="F3">
        <f>IF(EXACT(A3,""),"",T(Inicio!$P$5))</f>
      </c>
      <c r="G3">
        <f>IF(EXACT(A3,""),"",LOOKUP(Inicio!$AA$1,Datos!$A$3:Datos!$A$5,Datos!$C$3:Datos!$C$5))</f>
      </c>
    </row>
    <row r="4" spans="1:2" ht="12.75">
      <c r="A4" t="s">
        <v>177</v>
      </c>
      <c r="B4" t="s">
        <v>174</v>
      </c>
    </row>
    <row r="5" spans="1:2" ht="12.75">
      <c r="A5">
        <f>IF(OR(ISBLANK(B5),EXACT(B5,"")),"","&gt;")</f>
      </c>
      <c r="B5">
        <f>T(Inicio!$E$12)</f>
      </c>
    </row>
    <row r="6" spans="1:2" ht="12.75">
      <c r="A6">
        <f>IF(OR(ISBLANK(B6),EXACT(B6,"")),"","&gt;")</f>
      </c>
      <c r="B6">
        <f>T(Inicio!$E$18)</f>
      </c>
    </row>
    <row r="7" spans="1:2" ht="12.75">
      <c r="A7" t="s">
        <v>177</v>
      </c>
      <c r="B7" t="s">
        <v>175</v>
      </c>
    </row>
    <row r="8" spans="1:19" ht="12.75">
      <c r="A8" t="s">
        <v>176</v>
      </c>
      <c r="B8" t="s">
        <v>156</v>
      </c>
      <c r="C8" t="s">
        <v>231</v>
      </c>
      <c r="D8" t="s">
        <v>157</v>
      </c>
      <c r="E8" t="s">
        <v>158</v>
      </c>
      <c r="F8" t="s">
        <v>165</v>
      </c>
      <c r="G8" t="s">
        <v>166</v>
      </c>
      <c r="H8" t="s">
        <v>160</v>
      </c>
      <c r="I8" t="s">
        <v>159</v>
      </c>
      <c r="J8" t="s">
        <v>168</v>
      </c>
      <c r="K8" t="s">
        <v>167</v>
      </c>
      <c r="L8" t="s">
        <v>161</v>
      </c>
      <c r="M8" t="s">
        <v>162</v>
      </c>
      <c r="N8" t="s">
        <v>169</v>
      </c>
      <c r="O8" t="s">
        <v>170</v>
      </c>
      <c r="P8" t="s">
        <v>163</v>
      </c>
      <c r="Q8" t="s">
        <v>171</v>
      </c>
      <c r="R8" t="s">
        <v>172</v>
      </c>
      <c r="S8" t="s">
        <v>164</v>
      </c>
    </row>
    <row r="9" spans="1:19" ht="12.75">
      <c r="A9">
        <f>IF(OR(ISBLANK(B9),EXACT(B9,"")),"","&gt;")</f>
      </c>
      <c r="B9">
        <f>IF('Emisiones Combustión'!AH8&lt;&gt;1,LOOKUP('Emisiones Combustión'!AH8,Datos!E4:Datos!E25,Datos!F4:Datos!F25),"")</f>
      </c>
      <c r="C9">
        <f>IF('Emisiones Combustión'!AH8&lt;&gt;1,IF(NOT(OR(ISBLANK('Emisiones Combustión'!A9),'Emisiones Combustión'!A9="")),'Emisiones Combustión'!A9,""),"")</f>
      </c>
      <c r="D9">
        <f>IF(ISBLANK('Emisiones Combustión'!C8),IF(ISBLANK('Emisiones Combustión'!C10),"",'Emisiones Combustión'!C10),'Emisiones Combustión'!C8)</f>
      </c>
      <c r="E9">
        <f>IF(OR(EXACT('Emisiones Combustión'!D8,1),ISBLANK('Emisiones Combustión'!D8)),'Emisiones Combustión'!D10,LOOKUP('Emisiones Combustión'!D8,Datos!AN4:Datos!AN5,Datos!AO4:Datos!AO5))</f>
      </c>
      <c r="F9">
        <f>'Emisiones Combustión'!E8</f>
      </c>
      <c r="G9">
        <f>IF(ISBLANK('Emisiones Combustión'!F8),"",'Emisiones Combustión'!F8)</f>
      </c>
      <c r="H9">
        <f>IF(ISBLANK('Emisiones Combustión'!H9),'Emisiones Combustión'!H8,'Emisiones Combustión'!H9)</f>
      </c>
      <c r="I9">
        <f>IF(OR(EXACT('Emisiones Combustión'!I9,1),ISBLANK('Emisiones Combustión'!I9)),'Emisiones Combustión'!I8,LOOKUP('Emisiones Combustión'!I9,Datos!AN4:Datos!AN5,Datos!AP4:Datos!AP5))</f>
      </c>
      <c r="J9">
        <f>'Emisiones Combustión'!J8</f>
      </c>
      <c r="K9">
        <f>IF(ISBLANK('Emisiones Combustión'!K8),"",'Emisiones Combustión'!K8)</f>
      </c>
      <c r="L9">
        <f>IF(ISBLANK('Emisiones Combustión'!M9),'Emisiones Combustión'!M8,'Emisiones Combustión'!M9)</f>
      </c>
      <c r="M9">
        <f>IF(OR(EXACT('Emisiones Combustión'!N9,1),ISBLANK('Emisiones Combustión'!N9)),'Emisiones Combustión'!N8,LOOKUP('Emisiones Combustión'!N9,Datos!AN4:Datos!AN5,Datos!AQ4:Datos!AQ5))</f>
      </c>
      <c r="N9">
        <f>'Emisiones Combustión'!O8</f>
      </c>
      <c r="O9">
        <f>IF(ISBLANK('Emisiones Combustión'!P8),"",'Emisiones Combustión'!P8)</f>
      </c>
      <c r="P9">
        <f>IF(ISBLANK('Emisiones Combustión'!R9),'Emisiones Combustión'!R8,'Emisiones Combustión'!R9)</f>
      </c>
      <c r="Q9">
        <f>'Emisiones Combustión'!S8</f>
      </c>
      <c r="R9">
        <f>IF(ISBLANK('Emisiones Combustión'!T9),"",'Emisiones Combustión'!T9)</f>
      </c>
      <c r="S9">
        <f>'Emisiones Combustión'!U8</f>
        <v>0</v>
      </c>
    </row>
    <row r="10" spans="1:19" ht="12.75">
      <c r="A10">
        <f>IF(OR(ISBLANK(B10),EXACT(B10,"")),"","&gt;")</f>
      </c>
      <c r="B10">
        <f>IF('Emisiones Combustión'!AH15&lt;&gt;1,LOOKUP('Emisiones Combustión'!AH15,Datos!E4:Datos!E25,Datos!F4:Datos!F25),"")</f>
      </c>
      <c r="C10">
        <f>IF('Emisiones Combustión'!AH15&lt;&gt;1,IF(NOT(OR(ISBLANK('Emisiones Combustión'!A16),'Emisiones Combustión'!A16="")),'Emisiones Combustión'!A16,""),"")</f>
      </c>
      <c r="D10">
        <f>IF(ISBLANK('Emisiones Combustión'!C15),IF(ISBLANK('Emisiones Combustión'!C17),"",'Emisiones Combustión'!C17),'Emisiones Combustión'!C15)</f>
      </c>
      <c r="E10">
        <f>IF(OR(EXACT('Emisiones Combustión'!D15,1),ISBLANK('Emisiones Combustión'!D15)),'Emisiones Combustión'!D17,LOOKUP('Emisiones Combustión'!D15,Datos!AN4:Datos!AN5,Datos!AO4:Datos!AO5))</f>
      </c>
      <c r="F10">
        <f>'Emisiones Combustión'!E15</f>
      </c>
      <c r="G10">
        <f>IF(ISBLANK('Emisiones Combustión'!F15),"",'Emisiones Combustión'!F15)</f>
      </c>
      <c r="H10">
        <f>IF(ISBLANK('Emisiones Combustión'!H16),'Emisiones Combustión'!H15,'Emisiones Combustión'!H16)</f>
      </c>
      <c r="I10">
        <f>IF(OR(EXACT('Emisiones Combustión'!I16,1),ISBLANK('Emisiones Combustión'!I16)),'Emisiones Combustión'!I15,LOOKUP('Emisiones Combustión'!I16,Datos!AN4:Datos!AN5,Datos!AP4:Datos!AP5))</f>
      </c>
      <c r="J10">
        <f>'Emisiones Combustión'!J15</f>
      </c>
      <c r="K10">
        <f>IF(ISBLANK('Emisiones Combustión'!K15),"",'Emisiones Combustión'!K15)</f>
      </c>
      <c r="L10">
        <f>IF(ISBLANK('Emisiones Combustión'!M16),'Emisiones Combustión'!M15,'Emisiones Combustión'!M16)</f>
      </c>
      <c r="M10">
        <f>IF(OR(EXACT('Emisiones Combustión'!N16,1),ISBLANK('Emisiones Combustión'!N16)),'Emisiones Combustión'!N15,LOOKUP('Emisiones Combustión'!N16,Datos!AN4:Datos!AN5,Datos!AQ4:Datos!AQ5))</f>
      </c>
      <c r="N10">
        <f>'Emisiones Combustión'!O15</f>
      </c>
      <c r="O10">
        <f>IF(ISBLANK('Emisiones Combustión'!P15),"",'Emisiones Combustión'!P15)</f>
      </c>
      <c r="P10">
        <f>IF(ISBLANK('Emisiones Combustión'!R16),'Emisiones Combustión'!R15,'Emisiones Combustión'!R16)</f>
      </c>
      <c r="Q10">
        <f>'Emisiones Combustión'!S15</f>
      </c>
      <c r="R10">
        <f>IF(ISBLANK('Emisiones Combustión'!T16),"",'Emisiones Combustión'!T16)</f>
      </c>
      <c r="S10">
        <f>'Emisiones Combustión'!U15</f>
        <v>0</v>
      </c>
    </row>
    <row r="11" spans="1:19" ht="12.75">
      <c r="A11">
        <f aca="true" t="shared" si="0" ref="A11:A17">IF(OR(ISBLANK(B11),EXACT(B11,"")),"","&gt;")</f>
      </c>
      <c r="B11">
        <f>IF('Emisiones Combustión'!AH22&lt;&gt;1,LOOKUP('Emisiones Combustión'!AH22,Datos!E4:Datos!E25,Datos!F4:Datos!F25),"")</f>
      </c>
      <c r="C11">
        <f>IF('Emisiones Combustión'!AH22&lt;&gt;1,IF(NOT(OR(ISBLANK('Emisiones Combustión'!A23),'Emisiones Combustión'!A23="")),'Emisiones Combustión'!A23,""),"")</f>
      </c>
      <c r="D11">
        <f>IF(ISBLANK('Emisiones Combustión'!C22),IF(ISBLANK('Emisiones Combustión'!C24),"",'Emisiones Combustión'!C24),'Emisiones Combustión'!C22)</f>
      </c>
      <c r="E11">
        <f>IF(OR(EXACT('Emisiones Combustión'!D22,1),ISBLANK('Emisiones Combustión'!D22)),'Emisiones Combustión'!D24,LOOKUP('Emisiones Combustión'!D22,Datos!AN4:Datos!AN5,Datos!AO4:Datos!AO5))</f>
      </c>
      <c r="F11">
        <f>'Emisiones Combustión'!E22</f>
      </c>
      <c r="G11">
        <f>IF(ISBLANK('Emisiones Combustión'!F22),"",'Emisiones Combustión'!F22)</f>
      </c>
      <c r="H11">
        <f>IF(ISBLANK('Emisiones Combustión'!H23),'Emisiones Combustión'!H22,'Emisiones Combustión'!H23)</f>
      </c>
      <c r="I11">
        <f>IF(OR(EXACT('Emisiones Combustión'!I23,1),ISBLANK('Emisiones Combustión'!I23)),'Emisiones Combustión'!I22,LOOKUP('Emisiones Combustión'!I23,Datos!AN4:Datos!AN5,Datos!AP4:Datos!AP5))</f>
      </c>
      <c r="J11">
        <f>'Emisiones Combustión'!J22</f>
      </c>
      <c r="K11">
        <f>IF(ISBLANK('Emisiones Combustión'!K22),"",'Emisiones Combustión'!K22)</f>
      </c>
      <c r="L11">
        <f>IF(ISBLANK('Emisiones Combustión'!M23),'Emisiones Combustión'!M22,'Emisiones Combustión'!M23)</f>
      </c>
      <c r="M11">
        <f>IF(OR(EXACT('Emisiones Combustión'!N23,1),ISBLANK('Emisiones Combustión'!N23)),'Emisiones Combustión'!N22,LOOKUP('Emisiones Combustión'!N23,Datos!AN4:Datos!AN5,Datos!AQ4:Datos!AQ5))</f>
      </c>
      <c r="N11">
        <f>'Emisiones Combustión'!O22</f>
      </c>
      <c r="O11">
        <f>IF(ISBLANK('Emisiones Combustión'!P22),"",'Emisiones Combustión'!P22)</f>
      </c>
      <c r="P11">
        <f>IF(ISBLANK('Emisiones Combustión'!R23),'Emisiones Combustión'!R22,'Emisiones Combustión'!R23)</f>
      </c>
      <c r="Q11">
        <f>'Emisiones Combustión'!S22</f>
      </c>
      <c r="R11">
        <f>IF(ISBLANK('Emisiones Combustión'!T23),"",'Emisiones Combustión'!T23)</f>
      </c>
      <c r="S11">
        <f>'Emisiones Combustión'!U22</f>
        <v>0</v>
      </c>
    </row>
    <row r="12" spans="1:19" ht="12.75">
      <c r="A12">
        <f t="shared" si="0"/>
      </c>
      <c r="B12">
        <f>IF('Emisiones Combustión'!AH29&lt;&gt;1,LOOKUP('Emisiones Combustión'!AH29,Datos!E4:Datos!E25,Datos!F4:Datos!F25),"")</f>
      </c>
      <c r="C12">
        <f>IF('Emisiones Combustión'!AH29&lt;&gt;1,IF(NOT(OR(ISBLANK('Emisiones Combustión'!A30),'Emisiones Combustión'!A30="")),'Emisiones Combustión'!A30,""),"")</f>
      </c>
      <c r="D12">
        <f>IF(ISBLANK('Emisiones Combustión'!C29),IF(ISBLANK('Emisiones Combustión'!C31),"",'Emisiones Combustión'!C31),'Emisiones Combustión'!C29)</f>
      </c>
      <c r="E12">
        <f>IF(OR(EXACT('Emisiones Combustión'!D29,1),ISBLANK('Emisiones Combustión'!D29)),'Emisiones Combustión'!D31,LOOKUP('Emisiones Combustión'!D29,Datos!AN4:Datos!AN5,Datos!AO4:Datos!AO5))</f>
      </c>
      <c r="F12">
        <f>'Emisiones Combustión'!E29</f>
      </c>
      <c r="G12">
        <f>IF(ISBLANK('Emisiones Combustión'!F29),"",'Emisiones Combustión'!F29)</f>
      </c>
      <c r="H12">
        <f>IF(ISBLANK('Emisiones Combustión'!H30),'Emisiones Combustión'!H29,'Emisiones Combustión'!H30)</f>
      </c>
      <c r="I12">
        <f>IF(OR(EXACT('Emisiones Combustión'!I30,1),ISBLANK('Emisiones Combustión'!I30)),'Emisiones Combustión'!I29,LOOKUP('Emisiones Combustión'!I30,Datos!AN4:Datos!AN5,Datos!AP4:Datos!AP5))</f>
      </c>
      <c r="J12">
        <f>'Emisiones Combustión'!J29</f>
      </c>
      <c r="K12">
        <f>IF(ISBLANK('Emisiones Combustión'!K29),"",'Emisiones Combustión'!K29)</f>
      </c>
      <c r="L12">
        <f>IF(ISBLANK('Emisiones Combustión'!M30),'Emisiones Combustión'!M29,'Emisiones Combustión'!M30)</f>
      </c>
      <c r="M12">
        <f>IF(OR(EXACT('Emisiones Combustión'!N30,1),ISBLANK('Emisiones Combustión'!N30)),'Emisiones Combustión'!N29,LOOKUP('Emisiones Combustión'!N30,Datos!AN4:Datos!AN5,Datos!AQ4:Datos!AQ5))</f>
      </c>
      <c r="N12">
        <f>'Emisiones Combustión'!O29</f>
      </c>
      <c r="O12">
        <f>IF(ISBLANK('Emisiones Combustión'!P29),"",'Emisiones Combustión'!P29)</f>
      </c>
      <c r="P12">
        <f>IF(ISBLANK('Emisiones Combustión'!R30),'Emisiones Combustión'!R29,'Emisiones Combustión'!R30)</f>
      </c>
      <c r="Q12">
        <f>'Emisiones Combustión'!S29</f>
      </c>
      <c r="R12">
        <f>IF(ISBLANK('Emisiones Combustión'!T30),"",'Emisiones Combustión'!T30)</f>
      </c>
      <c r="S12">
        <f>'Emisiones Combustión'!U29</f>
        <v>0</v>
      </c>
    </row>
    <row r="13" spans="1:19" ht="12.75">
      <c r="A13">
        <f t="shared" si="0"/>
      </c>
      <c r="B13">
        <f>IF('Emisiones Combustión'!AH36&lt;&gt;1,LOOKUP('Emisiones Combustión'!AH36,Datos!E4:Datos!E25,Datos!F4:Datos!F25),"")</f>
      </c>
      <c r="C13">
        <f>IF('Emisiones Combustión'!AH36&lt;&gt;1,IF(NOT(OR(ISBLANK('Emisiones Combustión'!A37),'Emisiones Combustión'!A37="")),'Emisiones Combustión'!A37,""),"")</f>
      </c>
      <c r="D13">
        <f>IF(ISBLANK('Emisiones Combustión'!C36),IF(ISBLANK('Emisiones Combustión'!C38),"",'Emisiones Combustión'!C38),'Emisiones Combustión'!C36)</f>
      </c>
      <c r="E13">
        <f>IF(OR(EXACT('Emisiones Combustión'!D36,1),ISBLANK('Emisiones Combustión'!D36)),'Emisiones Combustión'!D38,LOOKUP('Emisiones Combustión'!D36,Datos!AN4:Datos!AN5,Datos!AO4:Datos!AO5))</f>
      </c>
      <c r="F13">
        <f>'Emisiones Combustión'!E36</f>
      </c>
      <c r="G13">
        <f>IF(ISBLANK('Emisiones Combustión'!F36),"",'Emisiones Combustión'!F36)</f>
      </c>
      <c r="H13">
        <f>IF(ISBLANK('Emisiones Combustión'!H37),'Emisiones Combustión'!H36,'Emisiones Combustión'!H37)</f>
      </c>
      <c r="I13">
        <f>IF(OR(EXACT('Emisiones Combustión'!I37,1),ISBLANK('Emisiones Combustión'!I37)),'Emisiones Combustión'!I36,LOOKUP('Emisiones Combustión'!I37,Datos!AN4:Datos!AN5,Datos!AP4:Datos!AP5))</f>
      </c>
      <c r="J13">
        <f>'Emisiones Combustión'!J36</f>
      </c>
      <c r="K13">
        <f>IF(ISBLANK('Emisiones Combustión'!K36),"",'Emisiones Combustión'!K36)</f>
      </c>
      <c r="L13">
        <f>IF(ISBLANK('Emisiones Combustión'!M37),'Emisiones Combustión'!M36,'Emisiones Combustión'!M37)</f>
      </c>
      <c r="M13">
        <f>IF(OR(EXACT('Emisiones Combustión'!N37,1),ISBLANK('Emisiones Combustión'!N37)),'Emisiones Combustión'!N36,LOOKUP('Emisiones Combustión'!N37,Datos!AN4:Datos!AN5,Datos!AQ4:Datos!AQ5))</f>
      </c>
      <c r="N13">
        <f>'Emisiones Combustión'!O36</f>
      </c>
      <c r="O13">
        <f>IF(ISBLANK('Emisiones Combustión'!P36),"",'Emisiones Combustión'!P36)</f>
      </c>
      <c r="P13">
        <f>IF(ISBLANK('Emisiones Combustión'!R37),'Emisiones Combustión'!R36,'Emisiones Combustión'!R37)</f>
      </c>
      <c r="Q13">
        <f>'Emisiones Combustión'!S36</f>
      </c>
      <c r="R13">
        <f>IF(ISBLANK('Emisiones Combustión'!T36),"",'Emisiones Combustión'!T36)</f>
      </c>
      <c r="S13">
        <f>'Emisiones Combustión'!U36</f>
        <v>0</v>
      </c>
    </row>
    <row r="14" spans="1:19" ht="12.75">
      <c r="A14">
        <f t="shared" si="0"/>
      </c>
      <c r="B14">
        <f>IF('Emisiones Combustión'!AH43&lt;&gt;1,LOOKUP('Emisiones Combustión'!AH43,Datos!E4:Datos!E25,Datos!F4:Datos!F25),"")</f>
      </c>
      <c r="C14">
        <f>IF('Emisiones Combustión'!AH43&lt;&gt;1,IF(NOT(OR(ISBLANK('Emisiones Combustión'!A44),'Emisiones Combustión'!A44="")),'Emisiones Combustión'!A44,""),"")</f>
      </c>
      <c r="D14">
        <f>IF(ISBLANK('Emisiones Combustión'!C43),IF(ISBLANK('Emisiones Combustión'!C45),"",'Emisiones Combustión'!C45),'Emisiones Combustión'!C43)</f>
      </c>
      <c r="E14">
        <f>IF(OR(EXACT('Emisiones Combustión'!D43,1),ISBLANK('Emisiones Combustión'!D43)),'Emisiones Combustión'!D45,LOOKUP('Emisiones Combustión'!D43,Datos!AN4:Datos!AN5,Datos!AO4:Datos!AO5))</f>
      </c>
      <c r="F14">
        <f>'Emisiones Combustión'!E43</f>
      </c>
      <c r="G14">
        <f>IF(ISBLANK('Emisiones Combustión'!F43),"",'Emisiones Combustión'!F43)</f>
      </c>
      <c r="H14">
        <f>IF(ISBLANK('Emisiones Combustión'!H44),'Emisiones Combustión'!H43,'Emisiones Combustión'!H44)</f>
      </c>
      <c r="I14">
        <f>IF(OR(EXACT('Emisiones Combustión'!I44,1),ISBLANK('Emisiones Combustión'!I44)),'Emisiones Combustión'!I43,LOOKUP('Emisiones Combustión'!I44,Datos!AN4:Datos!AN5,Datos!AP4:Datos!AP5))</f>
      </c>
      <c r="J14">
        <f>'Emisiones Combustión'!J43</f>
      </c>
      <c r="K14">
        <f>IF(ISBLANK('Emisiones Combustión'!K43),"",'Emisiones Combustión'!K43)</f>
      </c>
      <c r="L14">
        <f>IF(ISBLANK('Emisiones Combustión'!M44),'Emisiones Combustión'!M43,'Emisiones Combustión'!M44)</f>
      </c>
      <c r="M14">
        <f>IF(OR(EXACT('Emisiones Combustión'!N44,1),ISBLANK('Emisiones Combustión'!N44)),'Emisiones Combustión'!N43,LOOKUP('Emisiones Combustión'!N44,Datos!AN4:Datos!AN5,Datos!AQ4:Datos!AQ5))</f>
      </c>
      <c r="N14">
        <f>'Emisiones Combustión'!O43</f>
      </c>
      <c r="O14">
        <f>IF(ISBLANK('Emisiones Combustión'!P68),"",'Emisiones Combustión'!P68)</f>
      </c>
      <c r="P14">
        <f>IF(ISBLANK('Emisiones Combustión'!R44),'Emisiones Combustión'!R43,'Emisiones Combustión'!R44)</f>
      </c>
      <c r="Q14">
        <f>'Emisiones Combustión'!S43</f>
      </c>
      <c r="R14">
        <f>IF(ISBLANK('Emisiones Combustión'!T44),"",'Emisiones Combustión'!T44)</f>
      </c>
      <c r="S14">
        <f>'Emisiones Combustión'!U43</f>
        <v>0</v>
      </c>
    </row>
    <row r="15" spans="1:19" ht="12.75">
      <c r="A15">
        <f t="shared" si="0"/>
      </c>
      <c r="B15">
        <f>IF('Emisiones Combustión'!AH50&lt;&gt;1,LOOKUP('Emisiones Combustión'!AH50,Datos!E4:Datos!E25,Datos!F4:Datos!F25),"")</f>
      </c>
      <c r="C15">
        <f>IF('Emisiones Combustión'!AH50&lt;&gt;1,IF(NOT(OR(ISBLANK('Emisiones Combustión'!A51),'Emisiones Combustión'!A51="")),'Emisiones Combustión'!A51,""),"")</f>
      </c>
      <c r="D15">
        <f>IF(ISBLANK('Emisiones Combustión'!C50),IF(ISBLANK('Emisiones Combustión'!C52),"",'Emisiones Combustión'!C52),'Emisiones Combustión'!C50)</f>
      </c>
      <c r="E15">
        <f>IF(OR(EXACT('Emisiones Combustión'!D50,1),ISBLANK('Emisiones Combustión'!D50)),'Emisiones Combustión'!D52,LOOKUP('Emisiones Combustión'!D50,Datos!AN4:Datos!AN5,Datos!AO4:Datos!AO5))</f>
      </c>
      <c r="F15">
        <f>'Emisiones Combustión'!E50</f>
      </c>
      <c r="G15">
        <f>IF(ISBLANK('Emisiones Combustión'!F50),"",'Emisiones Combustión'!F50)</f>
      </c>
      <c r="H15">
        <f>IF(ISBLANK('Emisiones Combustión'!H51),'Emisiones Combustión'!H50,'Emisiones Combustión'!H51)</f>
      </c>
      <c r="I15">
        <f>IF(OR(EXACT('Emisiones Combustión'!I51,1),ISBLANK('Emisiones Combustión'!I51)),'Emisiones Combustión'!I50,LOOKUP('Emisiones Combustión'!I51,Datos!AN4:Datos!AN5,Datos!AP4:Datos!AP5))</f>
      </c>
      <c r="J15">
        <f>'Emisiones Combustión'!J50</f>
      </c>
      <c r="K15">
        <f>IF(ISBLANK('Emisiones Combustión'!K50),"",'Emisiones Combustión'!K50)</f>
      </c>
      <c r="L15">
        <f>IF(ISBLANK('Emisiones Combustión'!M51),'Emisiones Combustión'!M50,'Emisiones Combustión'!M51)</f>
      </c>
      <c r="M15">
        <f>IF(OR(EXACT('Emisiones Combustión'!N51,1),ISBLANK('Emisiones Combustión'!N51)),'Emisiones Combustión'!N50,LOOKUP('Emisiones Combustión'!N51,Datos!AN4:Datos!AN5,Datos!AQ4:Datos!AQ5))</f>
      </c>
      <c r="N15">
        <f>'Emisiones Combustión'!O50</f>
      </c>
      <c r="O15">
        <f>IF(ISBLANK('Emisiones Combustión'!P75),"",'Emisiones Combustión'!P75)</f>
      </c>
      <c r="P15">
        <f>IF(ISBLANK('Emisiones Combustión'!R51),'Emisiones Combustión'!R50,'Emisiones Combustión'!R51)</f>
      </c>
      <c r="Q15">
        <f>'Emisiones Combustión'!S50</f>
      </c>
      <c r="R15">
        <f>IF(ISBLANK('Emisiones Combustión'!T51),"",'Emisiones Combustión'!T51)</f>
      </c>
      <c r="S15">
        <f>'Emisiones Combustión'!U50</f>
        <v>0</v>
      </c>
    </row>
    <row r="16" spans="1:19" ht="12.75">
      <c r="A16">
        <f t="shared" si="0"/>
      </c>
      <c r="B16">
        <f>IF('Emisiones Combustión'!AH57&lt;&gt;1,LOOKUP('Emisiones Combustión'!AH57,Datos!E4:Datos!E25,Datos!F4:Datos!F25),"")</f>
      </c>
      <c r="C16">
        <f>IF('Emisiones Combustión'!AH57&lt;&gt;1,IF(NOT(OR(ISBLANK('Emisiones Combustión'!A58),'Emisiones Combustión'!A58="")),'Emisiones Combustión'!A58,""),"")</f>
      </c>
      <c r="D16">
        <f>IF(ISBLANK('Emisiones Combustión'!C57),IF(ISBLANK('Emisiones Combustión'!C59),"",'Emisiones Combustión'!C59),'Emisiones Combustión'!C57)</f>
      </c>
      <c r="E16">
        <f>IF(OR(EXACT('Emisiones Combustión'!D57,1),ISBLANK('Emisiones Combustión'!D57)),'Emisiones Combustión'!D59,LOOKUP('Emisiones Combustión'!D57,Datos!AN4:Datos!AN5,Datos!AO4:Datos!AO5))</f>
      </c>
      <c r="F16">
        <f>'Emisiones Combustión'!E57</f>
      </c>
      <c r="G16">
        <f>IF(ISBLANK('Emisiones Combustión'!F57),"",'Emisiones Combustión'!F57)</f>
      </c>
      <c r="H16">
        <f>IF(ISBLANK('Emisiones Combustión'!H58),'Emisiones Combustión'!H57,'Emisiones Combustión'!H58)</f>
      </c>
      <c r="I16">
        <f>IF(OR(EXACT('Emisiones Combustión'!I58,1),ISBLANK('Emisiones Combustión'!I58)),'Emisiones Combustión'!I57,LOOKUP('Emisiones Combustión'!I58,Datos!AN4:Datos!AN5,Datos!AP4:Datos!AP5))</f>
      </c>
      <c r="J16">
        <f>'Emisiones Combustión'!J57</f>
      </c>
      <c r="K16">
        <f>IF(ISBLANK('Emisiones Combustión'!K57),"",'Emisiones Combustión'!K57)</f>
      </c>
      <c r="L16">
        <f>IF(ISBLANK('Emisiones Combustión'!M58),'Emisiones Combustión'!M57,'Emisiones Combustión'!M58)</f>
      </c>
      <c r="M16">
        <f>IF(OR(EXACT('Emisiones Combustión'!N58,1),ISBLANK('Emisiones Combustión'!N58)),'Emisiones Combustión'!N57,LOOKUP('Emisiones Combustión'!N58,Datos!AN4:Datos!AN5,Datos!AQ4:Datos!AQ5))</f>
      </c>
      <c r="N16">
        <f>'Emisiones Combustión'!O57</f>
      </c>
      <c r="O16">
        <f>IF(ISBLANK('Emisiones Combustión'!P82),"",'Emisiones Combustión'!P82)</f>
      </c>
      <c r="P16">
        <f>IF(ISBLANK('Emisiones Combustión'!R58),'Emisiones Combustión'!R57,'Emisiones Combustión'!R58)</f>
      </c>
      <c r="Q16">
        <f>'Emisiones Combustión'!S57</f>
      </c>
      <c r="R16">
        <f>IF(ISBLANK('Emisiones Combustión'!T58),"",'Emisiones Combustión'!T58)</f>
      </c>
      <c r="S16">
        <f>'Emisiones Combustión'!U57</f>
        <v>0</v>
      </c>
    </row>
    <row r="17" spans="1:19" ht="12.75">
      <c r="A17">
        <f t="shared" si="0"/>
      </c>
      <c r="B17">
        <f>IF('Emisiones Combustión'!AH68&lt;&gt;1,LOOKUP('Emisiones Combustión'!AH68,Datos!E4:Datos!E25,Datos!F4:Datos!F25),"")</f>
      </c>
      <c r="C17">
        <f>IF('Emisiones Combustión'!AH68&lt;&gt;1,IF(NOT(OR(ISBLANK('Emisiones Combustión'!A69),'Emisiones Combustión'!A69="")),'Emisiones Combustión'!A69,""),"")</f>
      </c>
      <c r="D17">
        <f>IF(ISBLANK('Emisiones Combustión'!C68),IF(ISBLANK('Emisiones Combustión'!C70),"",'Emisiones Combustión'!C70),'Emisiones Combustión'!C68)</f>
      </c>
      <c r="E17">
        <f>IF(OR(EXACT('Emisiones Combustión'!D68,1),ISBLANK('Emisiones Combustión'!D68)),'Emisiones Combustión'!D70,LOOKUP('Emisiones Combustión'!D68,Datos!AN4:Datos!AN5,Datos!AO4:Datos!AO5))</f>
      </c>
      <c r="F17">
        <f>'Emisiones Combustión'!E68</f>
      </c>
      <c r="G17">
        <f>IF(ISBLANK('Emisiones Combustión'!F68),"",'Emisiones Combustión'!F68)</f>
      </c>
      <c r="H17">
        <f>IF(ISBLANK('Emisiones Combustión'!H69),'Emisiones Combustión'!H68,'Emisiones Combustión'!H69)</f>
      </c>
      <c r="I17">
        <f>IF(OR(EXACT('Emisiones Combustión'!I69,1),ISBLANK('Emisiones Combustión'!I69)),'Emisiones Combustión'!I68,LOOKUP('Emisiones Combustión'!I69,Datos!AN4:Datos!AN5,Datos!AP4:Datos!AP5))</f>
      </c>
      <c r="J17">
        <f>'Emisiones Combustión'!J68</f>
      </c>
      <c r="K17">
        <f>IF(ISBLANK('Emisiones Combustión'!K68),"",'Emisiones Combustión'!K68)</f>
      </c>
      <c r="L17">
        <f>IF(ISBLANK('Emisiones Combustión'!M69),'Emisiones Combustión'!M68,'Emisiones Combustión'!M69)</f>
      </c>
      <c r="M17">
        <f>IF(OR(EXACT('Emisiones Combustión'!N69,1),ISBLANK('Emisiones Combustión'!N69)),'Emisiones Combustión'!N68,LOOKUP('Emisiones Combustión'!N69,Datos!AN4:Datos!AN5,Datos!AQ4:Datos!AQ5))</f>
      </c>
      <c r="N17">
        <f>'Emisiones Combustión'!O68</f>
      </c>
      <c r="O17">
        <f>IF(ISBLANK('Emisiones Combustión'!P89),"",'Emisiones Combustión'!P89)</f>
      </c>
      <c r="P17">
        <f>IF(ISBLANK('Emisiones Combustión'!R69),'Emisiones Combustión'!R68,'Emisiones Combustión'!R69)</f>
      </c>
      <c r="Q17">
        <f>'Emisiones Combustión'!S68</f>
      </c>
      <c r="R17">
        <f>IF(ISBLANK('Emisiones Combustión'!T69),"",'Emisiones Combustión'!T69)</f>
      </c>
      <c r="S17">
        <f>'Emisiones Combustión'!U68</f>
        <v>0</v>
      </c>
    </row>
    <row r="18" spans="1:19" ht="12.75">
      <c r="A18">
        <f aca="true" t="shared" si="1" ref="A18:A24">IF(OR(ISBLANK(B18),EXACT(B18,"")),"","&gt;")</f>
      </c>
      <c r="B18">
        <f>IF('Emisiones Combustión'!AH75&lt;&gt;1,LOOKUP('Emisiones Combustión'!AH75,Datos!E3:Datos!E24,Datos!F3:Datos!F24),"")</f>
      </c>
      <c r="C18">
        <f>IF('Emisiones Combustión'!AH75&lt;&gt;1,IF(NOT(OR(ISBLANK('Emisiones Combustión'!A76),'Emisiones Combustión'!A76="")),'Emisiones Combustión'!A76,""),"")</f>
      </c>
      <c r="D18">
        <f>IF(ISBLANK('Emisiones Combustión'!C75),IF(ISBLANK('Emisiones Combustión'!C77),"",'Emisiones Combustión'!C77),'Emisiones Combustión'!C75)</f>
      </c>
      <c r="E18">
        <f>IF(OR(EXACT('Emisiones Combustión'!D75,1),ISBLANK('Emisiones Combustión'!D75)),'Emisiones Combustión'!D77,LOOKUP('Emisiones Combustión'!D75,Datos!AN3:Datos!AN4,Datos!AO3:Datos!AO4))</f>
      </c>
      <c r="F18">
        <f>'Emisiones Combustión'!E75</f>
      </c>
      <c r="G18">
        <f>IF(ISBLANK('Emisiones Combustión'!F75),"",'Emisiones Combustión'!F75)</f>
      </c>
      <c r="H18">
        <f>IF(ISBLANK('Emisiones Combustión'!H76),'Emisiones Combustión'!H75,'Emisiones Combustión'!H76)</f>
      </c>
      <c r="I18">
        <f>IF(OR(EXACT('Emisiones Combustión'!I76,1),ISBLANK('Emisiones Combustión'!I76)),'Emisiones Combustión'!I75,LOOKUP('Emisiones Combustión'!I76,Datos!AN3:Datos!AN4,Datos!AP3:Datos!AP4))</f>
      </c>
      <c r="J18">
        <f>'Emisiones Combustión'!J75</f>
      </c>
      <c r="K18">
        <f>IF(ISBLANK('Emisiones Combustión'!K75),"",'Emisiones Combustión'!K75)</f>
      </c>
      <c r="L18">
        <f>IF(ISBLANK('Emisiones Combustión'!M76),'Emisiones Combustión'!M75,'Emisiones Combustión'!M76)</f>
      </c>
      <c r="M18">
        <f>IF(OR(EXACT('Emisiones Combustión'!N76,1),ISBLANK('Emisiones Combustión'!N76)),'Emisiones Combustión'!N75,LOOKUP('Emisiones Combustión'!N76,Datos!AN3:Datos!AN4,Datos!AQ3:Datos!AQ4))</f>
      </c>
      <c r="N18">
        <f>'Emisiones Combustión'!O75</f>
      </c>
      <c r="O18">
        <f>IF(ISBLANK('Emisiones Combustión'!P95),"",'Emisiones Combustión'!P95)</f>
      </c>
      <c r="P18">
        <f>IF(ISBLANK('Emisiones Combustión'!R76),'Emisiones Combustión'!R75,'Emisiones Combustión'!R76)</f>
      </c>
      <c r="Q18">
        <f>'Emisiones Combustión'!S75</f>
      </c>
      <c r="R18">
        <f>IF(ISBLANK('Emisiones Combustión'!T76),"",'Emisiones Combustión'!T76)</f>
      </c>
      <c r="S18">
        <f>'Emisiones Combustión'!U75</f>
        <v>0</v>
      </c>
    </row>
    <row r="19" spans="1:19" ht="12.75">
      <c r="A19">
        <f t="shared" si="1"/>
      </c>
      <c r="B19">
        <f>IF('Emisiones Combustión'!AH82&lt;&gt;1,LOOKUP('Emisiones Combustión'!AH82,Datos!E4:Datos!E25,Datos!F4:Datos!F25),"")</f>
      </c>
      <c r="C19">
        <f>IF('Emisiones Combustión'!AH82&lt;&gt;1,IF(NOT(OR(ISBLANK('Emisiones Combustión'!A83),'Emisiones Combustión'!A83="")),'Emisiones Combustión'!A83,""),"")</f>
      </c>
      <c r="D19">
        <f>IF(ISBLANK('Emisiones Combustión'!C82),IF(ISBLANK('Emisiones Combustión'!C84),"",'Emisiones Combustión'!C84),'Emisiones Combustión'!C82)</f>
      </c>
      <c r="E19">
        <f>IF(OR(EXACT('Emisiones Combustión'!D82,1),ISBLANK('Emisiones Combustión'!D82)),'Emisiones Combustión'!D84,LOOKUP('Emisiones Combustión'!D82,Datos!AN4:Datos!AN5,Datos!AO4:Datos!AO5))</f>
      </c>
      <c r="F19">
        <f>'Emisiones Combustión'!E82</f>
      </c>
      <c r="G19">
        <f>IF(ISBLANK('Emisiones Combustión'!F82),"",'Emisiones Combustión'!F82)</f>
      </c>
      <c r="H19">
        <f>IF(ISBLANK('Emisiones Combustión'!H83),'Emisiones Combustión'!H82,'Emisiones Combustión'!H83)</f>
      </c>
      <c r="I19">
        <f>IF(OR(EXACT('Emisiones Combustión'!I83,1),ISBLANK('Emisiones Combustión'!I83)),'Emisiones Combustión'!I82,LOOKUP('Emisiones Combustión'!I83,Datos!AN4:Datos!AN5,Datos!AP4:Datos!AP5))</f>
      </c>
      <c r="J19">
        <f>'Emisiones Combustión'!J82</f>
      </c>
      <c r="K19">
        <f>IF(ISBLANK('Emisiones Combustión'!K82),"",'Emisiones Combustión'!K82)</f>
      </c>
      <c r="L19">
        <f>IF(ISBLANK('Emisiones Combustión'!M83),'Emisiones Combustión'!M82,'Emisiones Combustión'!M83)</f>
      </c>
      <c r="M19">
        <f>IF(OR(EXACT('Emisiones Combustión'!N83,1),ISBLANK('Emisiones Combustión'!N83)),'Emisiones Combustión'!N82,LOOKUP('Emisiones Combustión'!N83,Datos!AN4:Datos!AN5,Datos!AQ4:Datos!AQ5))</f>
      </c>
      <c r="N19">
        <f>'Emisiones Combustión'!O82</f>
      </c>
      <c r="O19">
        <f>IF(ISBLANK('Emisiones Combustión'!P96),"",'Emisiones Combustión'!P96)</f>
      </c>
      <c r="P19">
        <f>IF(ISBLANK('Emisiones Combustión'!R83),'Emisiones Combustión'!R82,'Emisiones Combustión'!R83)</f>
      </c>
      <c r="Q19">
        <f>'Emisiones Combustión'!S82</f>
      </c>
      <c r="R19">
        <f>IF(ISBLANK('Emisiones Combustión'!T83),"",'Emisiones Combustión'!T83)</f>
      </c>
      <c r="S19">
        <f>'Emisiones Combustión'!U82</f>
        <v>0</v>
      </c>
    </row>
    <row r="20" spans="1:19" ht="12.75">
      <c r="A20">
        <f t="shared" si="1"/>
      </c>
      <c r="B20">
        <f>IF('Emisiones Combustión'!AH89&lt;&gt;1,LOOKUP('Emisiones Combustión'!AH89,Datos!E5:Datos!E26,Datos!F5:Datos!F26),"")</f>
      </c>
      <c r="C20">
        <f>IF('Emisiones Combustión'!AH89&lt;&gt;1,IF(NOT(OR(ISBLANK('Emisiones Combustión'!A90),'Emisiones Combustión'!A90="")),'Emisiones Combustión'!A90,""),"")</f>
      </c>
      <c r="D20">
        <f>IF(ISBLANK('Emisiones Combustión'!C89),IF(ISBLANK('Emisiones Combustión'!C91),"",'Emisiones Combustión'!C91),'Emisiones Combustión'!C89)</f>
      </c>
      <c r="E20">
        <f>IF(OR(EXACT('Emisiones Combustión'!D89,1),ISBLANK('Emisiones Combustión'!D89)),'Emisiones Combustión'!D91,LOOKUP('Emisiones Combustión'!D89,Datos!AN5:Datos!AN6,Datos!AO5:Datos!AO6))</f>
      </c>
      <c r="F20">
        <f>'Emisiones Combustión'!E89</f>
      </c>
      <c r="G20">
        <f>IF(ISBLANK('Emisiones Combustión'!F89),"",'Emisiones Combustión'!F89)</f>
      </c>
      <c r="H20">
        <f>IF(ISBLANK('Emisiones Combustión'!H90),'Emisiones Combustión'!H89,'Emisiones Combustión'!H90)</f>
      </c>
      <c r="I20">
        <f>IF(OR(EXACT('Emisiones Combustión'!I90,1),ISBLANK('Emisiones Combustión'!I90)),'Emisiones Combustión'!I89,LOOKUP('Emisiones Combustión'!I90,Datos!AN5:Datos!AN6,Datos!AP5:Datos!AP6))</f>
      </c>
      <c r="J20">
        <f>'Emisiones Combustión'!J89</f>
      </c>
      <c r="K20">
        <f>IF(ISBLANK('Emisiones Combustión'!K89),"",'Emisiones Combustión'!K89)</f>
      </c>
      <c r="L20">
        <f>IF(ISBLANK('Emisiones Combustión'!M90),'Emisiones Combustión'!M89,'Emisiones Combustión'!M90)</f>
      </c>
      <c r="M20">
        <f>IF(OR(EXACT('Emisiones Combustión'!N90,1),ISBLANK('Emisiones Combustión'!N90)),'Emisiones Combustión'!N89,LOOKUP('Emisiones Combustión'!N90,Datos!AN5:Datos!AN6,Datos!AQ5:Datos!AQ6))</f>
      </c>
      <c r="N20">
        <f>'Emisiones Combustión'!O89</f>
      </c>
      <c r="O20">
        <f>IF(ISBLANK('Emisiones Combustión'!P97),"",'Emisiones Combustión'!P97)</f>
      </c>
      <c r="P20">
        <f>IF(ISBLANK('Emisiones Combustión'!R90),'Emisiones Combustión'!R89,'Emisiones Combustión'!R90)</f>
      </c>
      <c r="Q20">
        <f>'Emisiones Combustión'!S89</f>
      </c>
      <c r="R20">
        <f>IF(ISBLANK('Emisiones Combustión'!T90),"",'Emisiones Combustión'!T90)</f>
      </c>
      <c r="S20">
        <f>'Emisiones Combustión'!U89</f>
        <v>0</v>
      </c>
    </row>
    <row r="21" spans="1:19" ht="12.75">
      <c r="A21">
        <f t="shared" si="1"/>
      </c>
      <c r="B21">
        <f>IF('Emisiones Combustión'!AH96&lt;&gt;1,LOOKUP('Emisiones Combustión'!AH96,Datos!E6:Datos!E27,Datos!F6:Datos!F27),"")</f>
      </c>
      <c r="C21">
        <f>IF('Emisiones Combustión'!AH96&lt;&gt;1,IF(NOT(OR(ISBLANK('Emisiones Combustión'!A97),'Emisiones Combustión'!A97="")),'Emisiones Combustión'!A97,""),"")</f>
      </c>
      <c r="D21">
        <f>IF(ISBLANK('Emisiones Combustión'!C96),IF(ISBLANK('Emisiones Combustión'!C98),"",'Emisiones Combustión'!C98),'Emisiones Combustión'!C96)</f>
      </c>
      <c r="E21">
        <f>IF(OR(EXACT('Emisiones Combustión'!D96,1),ISBLANK('Emisiones Combustión'!D96)),'Emisiones Combustión'!D98,LOOKUP('Emisiones Combustión'!D96,Datos!AN6:Datos!AN7,Datos!AO6:Datos!AO7))</f>
      </c>
      <c r="F21">
        <f>'Emisiones Combustión'!E96</f>
      </c>
      <c r="G21">
        <f>IF(ISBLANK('Emisiones Combustión'!F96),"",'Emisiones Combustión'!F96)</f>
      </c>
      <c r="H21">
        <f>IF(ISBLANK('Emisiones Combustión'!H97),'Emisiones Combustión'!H96,'Emisiones Combustión'!H97)</f>
      </c>
      <c r="I21">
        <f>IF(OR(EXACT('Emisiones Combustión'!I97,1),ISBLANK('Emisiones Combustión'!I97)),'Emisiones Combustión'!I96,LOOKUP('Emisiones Combustión'!I97,Datos!AN6:Datos!AN7,Datos!AP6:Datos!AP7))</f>
      </c>
      <c r="J21">
        <f>'Emisiones Combustión'!J96</f>
      </c>
      <c r="K21">
        <f>IF(ISBLANK('Emisiones Combustión'!K96),"",'Emisiones Combustión'!K96)</f>
      </c>
      <c r="L21">
        <f>IF(ISBLANK('Emisiones Combustión'!M97),'Emisiones Combustión'!M96,'Emisiones Combustión'!M97)</f>
      </c>
      <c r="M21">
        <f>IF(OR(EXACT('Emisiones Combustión'!N97,1),ISBLANK('Emisiones Combustión'!N97)),'Emisiones Combustión'!N96,LOOKUP('Emisiones Combustión'!N97,Datos!AN6:Datos!AN7,Datos!AQ6:Datos!AQ7))</f>
      </c>
      <c r="N21">
        <f>'Emisiones Combustión'!O96</f>
      </c>
      <c r="O21">
        <f>IF(ISBLANK('Emisiones Combustión'!P98),"",'Emisiones Combustión'!P98)</f>
      </c>
      <c r="P21">
        <f>IF(ISBLANK('Emisiones Combustión'!R97),'Emisiones Combustión'!R96,'Emisiones Combustión'!R97)</f>
      </c>
      <c r="Q21">
        <f>'Emisiones Combustión'!S96</f>
      </c>
      <c r="R21">
        <f>IF(ISBLANK('Emisiones Combustión'!T97),"",'Emisiones Combustión'!T97)</f>
      </c>
      <c r="S21">
        <f>'Emisiones Combustión'!U96</f>
        <v>0</v>
      </c>
    </row>
    <row r="22" spans="1:19" ht="12.75">
      <c r="A22">
        <f t="shared" si="1"/>
      </c>
      <c r="B22">
        <f>IF('Emisiones Combustión'!AH103&lt;&gt;1,LOOKUP('Emisiones Combustión'!AH103,Datos!E7:Datos!E28,Datos!F7:Datos!F28),"")</f>
      </c>
      <c r="C22">
        <f>IF('Emisiones Combustión'!AH103&lt;&gt;1,IF(NOT(OR(ISBLANK('Emisiones Combustión'!A104),'Emisiones Combustión'!A104="")),'Emisiones Combustión'!A104,""),"")</f>
      </c>
      <c r="D22">
        <f>IF(ISBLANK('Emisiones Combustión'!C103),IF(ISBLANK('Emisiones Combustión'!C105),"",'Emisiones Combustión'!C105),'Emisiones Combustión'!C103)</f>
      </c>
      <c r="E22">
        <f>IF(OR(EXACT('Emisiones Combustión'!D103,1),ISBLANK('Emisiones Combustión'!D103)),'Emisiones Combustión'!D105,LOOKUP('Emisiones Combustión'!D103,Datos!AN7:Datos!AN8,Datos!AO7:Datos!AO8))</f>
      </c>
      <c r="F22">
        <f>'Emisiones Combustión'!E103</f>
      </c>
      <c r="G22">
        <f>IF(ISBLANK('Emisiones Combustión'!F103),"",'Emisiones Combustión'!F103)</f>
      </c>
      <c r="H22">
        <f>IF(ISBLANK('Emisiones Combustión'!H104),'Emisiones Combustión'!H103,'Emisiones Combustión'!H104)</f>
      </c>
      <c r="I22">
        <f>IF(OR(EXACT('Emisiones Combustión'!I104,1),ISBLANK('Emisiones Combustión'!I104)),'Emisiones Combustión'!I103,LOOKUP('Emisiones Combustión'!I104,Datos!AN7:Datos!AN8,Datos!AP7:Datos!AP8))</f>
      </c>
      <c r="J22">
        <f>'Emisiones Combustión'!J103</f>
      </c>
      <c r="K22">
        <f>IF(ISBLANK('Emisiones Combustión'!K103),"",'Emisiones Combustión'!K103)</f>
      </c>
      <c r="L22">
        <f>IF(ISBLANK('Emisiones Combustión'!M104),'Emisiones Combustión'!M103,'Emisiones Combustión'!M104)</f>
      </c>
      <c r="M22">
        <f>IF(OR(EXACT('Emisiones Combustión'!N104,1),ISBLANK('Emisiones Combustión'!N104)),'Emisiones Combustión'!N103,LOOKUP('Emisiones Combustión'!N104,Datos!AN7:Datos!AN8,Datos!AQ7:Datos!AQ8))</f>
      </c>
      <c r="N22">
        <f>'Emisiones Combustión'!O103</f>
      </c>
      <c r="O22">
        <f>IF(ISBLANK('Emisiones Combustión'!P99),"",'Emisiones Combustión'!P99)</f>
      </c>
      <c r="P22">
        <f>IF(ISBLANK('Emisiones Combustión'!R104),'Emisiones Combustión'!R103,'Emisiones Combustión'!R104)</f>
      </c>
      <c r="Q22">
        <f>'Emisiones Combustión'!S103</f>
      </c>
      <c r="R22">
        <f>IF(ISBLANK('Emisiones Combustión'!T104),"",'Emisiones Combustión'!T104)</f>
      </c>
      <c r="S22">
        <f>'Emisiones Combustión'!U103</f>
        <v>0</v>
      </c>
    </row>
    <row r="23" spans="1:19" ht="12.75">
      <c r="A23">
        <f t="shared" si="1"/>
      </c>
      <c r="B23">
        <f>IF('Emisiones Combustión'!AH110&lt;&gt;1,LOOKUP('Emisiones Combustión'!AH110,Datos!E8:Datos!E29,Datos!F8:Datos!F29),"")</f>
      </c>
      <c r="C23">
        <f>IF('Emisiones Combustión'!AH110&lt;&gt;1,IF(NOT(OR(ISBLANK('Emisiones Combustión'!A111),'Emisiones Combustión'!A111="")),'Emisiones Combustión'!A111,""),"")</f>
      </c>
      <c r="D23">
        <f>IF(ISBLANK('Emisiones Combustión'!C110),IF(ISBLANK('Emisiones Combustión'!C112),"",'Emisiones Combustión'!C112),'Emisiones Combustión'!C110)</f>
      </c>
      <c r="E23">
        <f>IF(OR(EXACT('Emisiones Combustión'!D110,1),ISBLANK('Emisiones Combustión'!D110)),'Emisiones Combustión'!D112,LOOKUP('Emisiones Combustión'!D110,Datos!AN8:Datos!AN9,Datos!AO8:Datos!AO9))</f>
      </c>
      <c r="F23">
        <f>'Emisiones Combustión'!E110</f>
      </c>
      <c r="G23">
        <f>IF(ISBLANK('Emisiones Combustión'!F110),"",'Emisiones Combustión'!F110)</f>
      </c>
      <c r="H23">
        <f>IF(ISBLANK('Emisiones Combustión'!H111),'Emisiones Combustión'!H110,'Emisiones Combustión'!H111)</f>
      </c>
      <c r="I23">
        <f>IF(OR(EXACT('Emisiones Combustión'!I111,1),ISBLANK('Emisiones Combustión'!I111)),'Emisiones Combustión'!I110,LOOKUP('Emisiones Combustión'!I111,Datos!AN8:Datos!AN9,Datos!AP8:Datos!AP9))</f>
      </c>
      <c r="J23">
        <f>'Emisiones Combustión'!J110</f>
      </c>
      <c r="K23">
        <f>IF(ISBLANK('Emisiones Combustión'!K110),"",'Emisiones Combustión'!K110)</f>
      </c>
      <c r="L23">
        <f>IF(ISBLANK('Emisiones Combustión'!M111),'Emisiones Combustión'!M110,'Emisiones Combustión'!M111)</f>
      </c>
      <c r="M23">
        <f>IF(OR(EXACT('Emisiones Combustión'!N111,1),ISBLANK('Emisiones Combustión'!N111)),'Emisiones Combustión'!N110,LOOKUP('Emisiones Combustión'!N111,Datos!AN8:Datos!AN9,Datos!AQ8:Datos!AQ9))</f>
      </c>
      <c r="N23">
        <f>'Emisiones Combustión'!O110</f>
      </c>
      <c r="O23">
        <f>IF(ISBLANK('Emisiones Combustión'!P100),"",'Emisiones Combustión'!P100)</f>
      </c>
      <c r="P23">
        <f>IF(ISBLANK('Emisiones Combustión'!R111),'Emisiones Combustión'!R110,'Emisiones Combustión'!R110)</f>
      </c>
      <c r="Q23">
        <f>'Emisiones Combustión'!S110</f>
      </c>
      <c r="R23">
        <f>IF(ISBLANK('Emisiones Combustión'!T111),"",'Emisiones Combustión'!T111)</f>
      </c>
      <c r="S23">
        <f>'Emisiones Combustión'!U110</f>
        <v>0</v>
      </c>
    </row>
    <row r="24" spans="1:19" ht="12.75">
      <c r="A24">
        <f t="shared" si="1"/>
      </c>
      <c r="B24">
        <f>IF('Emisiones Combustión'!AH117&lt;&gt;1,LOOKUP('Emisiones Combustión'!AH117,Datos!E9:Datos!E30,Datos!F9:Datos!F30),"")</f>
      </c>
      <c r="C24">
        <f>IF('Emisiones Combustión'!AH117&lt;&gt;1,IF(NOT(OR(ISBLANK('Emisiones Combustión'!A118),'Emisiones Combustión'!A118="")),'Emisiones Combustión'!A118,""),"")</f>
      </c>
      <c r="D24">
        <f>IF(ISBLANK('Emisiones Combustión'!C117),IF(ISBLANK('Emisiones Combustión'!C119),"",'Emisiones Combustión'!C119),'Emisiones Combustión'!C117)</f>
      </c>
      <c r="E24">
        <f>IF(OR(EXACT('Emisiones Combustión'!D117,1),ISBLANK('Emisiones Combustión'!D117)),'Emisiones Combustión'!D119,LOOKUP('Emisiones Combustión'!D117,Datos!AN9:Datos!AN10,Datos!AO9:Datos!AO10))</f>
      </c>
      <c r="F24">
        <f>'Emisiones Combustión'!E117</f>
      </c>
      <c r="G24">
        <f>IF(ISBLANK('Emisiones Combustión'!F117),"",'Emisiones Combustión'!F117)</f>
      </c>
      <c r="H24">
        <f>IF(ISBLANK('Emisiones Combustión'!H118),'Emisiones Combustión'!H117,'Emisiones Combustión'!H118)</f>
      </c>
      <c r="I24">
        <f>IF(OR(EXACT('Emisiones Combustión'!I118,1),ISBLANK('Emisiones Combustión'!I118)),'Emisiones Combustión'!I117,LOOKUP('Emisiones Combustión'!I118,Datos!AN9:Datos!AN10,Datos!AP9:Datos!AP10))</f>
      </c>
      <c r="J24">
        <f>'Emisiones Combustión'!J117</f>
      </c>
      <c r="K24">
        <f>IF(ISBLANK('Emisiones Combustión'!K117),"",'Emisiones Combustión'!K117)</f>
      </c>
      <c r="L24">
        <f>IF(ISBLANK('Emisiones Combustión'!M118),'Emisiones Combustión'!M117,'Emisiones Combustión'!M118)</f>
      </c>
      <c r="M24">
        <f>IF(OR(EXACT('Emisiones Combustión'!N118,1),ISBLANK('Emisiones Combustión'!N118)),'Emisiones Combustión'!N117,LOOKUP('Emisiones Combustión'!N118,Datos!AN9:Datos!AN10,Datos!AQ9:Datos!AQ10))</f>
      </c>
      <c r="N24">
        <f>'Emisiones Combustión'!O117</f>
      </c>
      <c r="O24">
        <f>IF(ISBLANK('Emisiones Combustión'!P101),"",'Emisiones Combustión'!P101)</f>
      </c>
      <c r="P24">
        <f>IF(ISBLANK('Emisiones Combustión'!R118),'Emisiones Combustión'!R117,'Emisiones Combustión'!R118)</f>
      </c>
      <c r="Q24">
        <f>'Emisiones Combustión'!S117</f>
      </c>
      <c r="R24">
        <f>IF(ISBLANK('Emisiones Combustión'!T118),"",'Emisiones Combustión'!T118)</f>
      </c>
      <c r="S24">
        <f>'Emisiones Combustión'!U117</f>
        <v>0</v>
      </c>
    </row>
    <row r="25" spans="1:2" ht="12.75">
      <c r="A25" t="s">
        <v>177</v>
      </c>
      <c r="B25" t="s">
        <v>235</v>
      </c>
    </row>
    <row r="26" spans="1:2" ht="12.75">
      <c r="A26">
        <f>IF(OR(ISBLANK(B26),EXACT(B26,"")),"","&gt;")</f>
      </c>
      <c r="B26">
        <f>T(Inicio!$M$12)</f>
      </c>
    </row>
    <row r="27" spans="1:2" ht="12.75">
      <c r="A27" t="s">
        <v>177</v>
      </c>
      <c r="B27" t="s">
        <v>178</v>
      </c>
    </row>
    <row r="28" spans="1:11" ht="12.75">
      <c r="A28" t="s">
        <v>176</v>
      </c>
      <c r="B28" t="s">
        <v>179</v>
      </c>
      <c r="C28" t="s">
        <v>180</v>
      </c>
      <c r="D28" t="s">
        <v>182</v>
      </c>
      <c r="E28" t="s">
        <v>181</v>
      </c>
      <c r="F28" t="s">
        <v>161</v>
      </c>
      <c r="G28" t="s">
        <v>162</v>
      </c>
      <c r="H28" t="s">
        <v>169</v>
      </c>
      <c r="I28" t="s">
        <v>183</v>
      </c>
      <c r="J28" t="s">
        <v>184</v>
      </c>
      <c r="K28" t="s">
        <v>164</v>
      </c>
    </row>
    <row r="29" spans="1:11" ht="12.75">
      <c r="A29">
        <f aca="true" t="shared" si="2" ref="A29:A34">IF(OR(ISBLANK(B29),EXACT(B29,"")),"","&gt;")</f>
      </c>
      <c r="B29">
        <f>IF(AND('Emisiones Proceso Cementeras'!B57&lt;&gt;0,'Emisiones Proceso Cementeras'!D11&lt;&gt;0),"Clínker Cemento Blanco 1","")</f>
      </c>
      <c r="C29">
        <f>IF(EXACT(B29,""),"",'Emisiones Proceso Cementeras'!D11)</f>
      </c>
      <c r="D29">
        <f>IF(EXACT(B29,""),"","t clínker")</f>
      </c>
      <c r="E29">
        <f>IF(EXACT(B29,""),"",'Emisiones Proceso Cementeras'!E11)</f>
      </c>
      <c r="F29">
        <f>IF(EXACT(B29,""),"",'Emisiones Proceso Cementeras'!F12)</f>
      </c>
      <c r="G29">
        <f>IF(EXACT(B29,""),"","t CO2/t clínker")</f>
      </c>
      <c r="H29">
        <f>IF(EXACT(B29,""),"",'Emisiones Proceso Cementeras'!G11)</f>
      </c>
      <c r="I29">
        <f>IF(EXACT(B29,""),"",'Emisiones Proceso Cementeras'!H11)</f>
      </c>
      <c r="J29">
        <f>IF(EXACT(B29,""),"",IF('Emisiones Proceso Cementeras'!I16&lt;&gt;0,'Emisiones Proceso Cementeras'!I16,'Emisiones Proceso Cementeras'!I11))</f>
      </c>
      <c r="K29">
        <f>IF(EXACT(B29,""),"",'Emisiones Proceso Cementeras'!J11)</f>
      </c>
    </row>
    <row r="30" spans="1:11" ht="12.75">
      <c r="A30">
        <f t="shared" si="2"/>
      </c>
      <c r="B30">
        <f>IF(AND('Emisiones Proceso Cementeras'!B57&lt;&gt;0,'Emisiones Proceso Cementeras'!D11&lt;&gt;0),"Clínker Cemento Blanco 2","")</f>
      </c>
      <c r="C30">
        <f>IF(EXACT(B30,""),"",'Emisiones Proceso Cementeras'!B57)</f>
      </c>
      <c r="D30">
        <f>IF(EXACT(B30,""),"","t de C no carbonatado")</f>
      </c>
      <c r="E30">
        <f>IF(EXACT(B30,""),"",IF('Emisiones Proceso Cementeras'!D57&lt;&gt;0,'Emisiones Proceso Cementeras'!D57,'Emisiones Proceso Cementeras'!C57))</f>
      </c>
      <c r="F30">
        <f>IF(EXACT(B30,""),"",'Emisiones Proceso Cementeras'!E57)</f>
      </c>
      <c r="G30">
        <f>IF(EXACT(B30,""),"","t CO2/t")</f>
      </c>
      <c r="H30">
        <f>IF(EXACT(B30,""),"",IF('Emisiones Proceso Cementeras'!G57&lt;&gt;0,'Emisiones Proceso Cementeras'!G57,'Emisiones Proceso Cementeras'!F57))</f>
      </c>
      <c r="I30">
        <f>IF(EXACT(B30,""),"",'Emisiones Proceso Cementeras'!H57)</f>
      </c>
      <c r="J30">
        <f>IF(EXACT(B30,""),"",IF('Emisiones Proceso Cementeras'!J57&lt;&gt;0,'Emisiones Proceso Cementeras'!J57,'Emisiones Proceso Cementeras'!I57))</f>
      </c>
      <c r="K30">
        <f>IF(EXACT(B30,""),"",'Emisiones Proceso Cementeras'!K57)</f>
      </c>
    </row>
    <row r="31" spans="1:11" ht="12.75">
      <c r="A31">
        <f t="shared" si="2"/>
      </c>
      <c r="B31">
        <f>IF(AND(ISBLANK('Emisiones Proceso Cementeras'!B57),'Emisiones Proceso Cementeras'!C21&lt;&gt;0),"Crudo Cemento Blanco","")</f>
      </c>
      <c r="C31">
        <f>IF(EXACT(B31,""),"",'Emisiones Proceso Cementeras'!C21)</f>
      </c>
      <c r="D31">
        <f>IF(EXACT(B31,""),"","t crudo")</f>
      </c>
      <c r="E31">
        <f>IF(EXACT(B31,""),"",'Emisiones Proceso Cementeras'!E11)</f>
      </c>
      <c r="F31">
        <f>IF(EXACT(B31,""),"",'Emisiones Proceso Cementeras'!F17)</f>
      </c>
      <c r="G31">
        <f>IF(EXACT(B31,""),"","t CO2/t crudo")</f>
      </c>
      <c r="H31">
        <f>IF(EXACT(B31,""),"",'Emisiones Proceso Cementeras'!G11)</f>
      </c>
      <c r="I31">
        <f>IF(EXACT(B31,""),"",'Emisiones Proceso Cementeras'!H11)</f>
      </c>
      <c r="J31">
        <f>IF(EXACT(B31,""),"",IF('Emisiones Proceso Cementeras'!I16&lt;&gt;0,'Emisiones Proceso Cementeras'!I16,'Emisiones Proceso Cementeras'!I11))</f>
      </c>
      <c r="K31">
        <f>IF(EXACT(B31,""),"",'Emisiones Proceso Cementeras'!J11)</f>
      </c>
    </row>
    <row r="32" spans="1:11" ht="12.75">
      <c r="A32">
        <f t="shared" si="2"/>
      </c>
      <c r="B32">
        <f>IF(AND('Emisiones Proceso Cementeras'!B65&lt;&gt;0,'Emisiones Proceso Cementeras'!D33&lt;&gt;0),"Clínker Cemento Gris 1","")</f>
      </c>
      <c r="C32">
        <f>IF(EXACT(B32,""),"",'Emisiones Proceso Cementeras'!D33)</f>
      </c>
      <c r="D32">
        <f>IF(EXACT(B32,""),"","t clínker")</f>
      </c>
      <c r="E32">
        <f>IF(EXACT(B32,""),"",'Emisiones Proceso Cementeras'!E33)</f>
      </c>
      <c r="F32">
        <f>IF(EXACT(B32,""),"",'Emisiones Proceso Cementeras'!F34)</f>
      </c>
      <c r="G32">
        <f>IF(EXACT(B32,""),"","t CO2/t clínker")</f>
      </c>
      <c r="H32">
        <f>IF(EXACT(B32,""),"",'Emisiones Proceso Cementeras'!G33)</f>
      </c>
      <c r="I32">
        <f>IF(EXACT(B32,""),"",'Emisiones Proceso Cementeras'!H33)</f>
      </c>
      <c r="J32">
        <f>IF(EXACT(B32,""),"",IF('Emisiones Proceso Cementeras'!I38&lt;&gt;0,'Emisiones Proceso Cementeras'!I38,'Emisiones Proceso Cementeras'!I33))</f>
      </c>
      <c r="K32">
        <f>IF(EXACT(B32,""),"",'Emisiones Proceso Cementeras'!J33)</f>
      </c>
    </row>
    <row r="33" spans="1:11" ht="12.75">
      <c r="A33">
        <f t="shared" si="2"/>
      </c>
      <c r="B33">
        <f>IF(AND('Emisiones Proceso Cementeras'!B65&lt;&gt;0,'Emisiones Proceso Cementeras'!D33&lt;&gt;0),"Clínker Cemento Gris 2","")</f>
      </c>
      <c r="C33">
        <f>IF(EXACT(B33,""),"",'Emisiones Proceso Cementeras'!B65)</f>
      </c>
      <c r="D33">
        <f>IF(EXACT(B33,""),"","t de C no carbonatado")</f>
      </c>
      <c r="E33">
        <f>IF(EXACT(B33,""),"",IF('Emisiones Proceso Cementeras'!D65&lt;&gt;0,'Emisiones Proceso Cementeras'!D65,'Emisiones Proceso Cementeras'!C65))</f>
      </c>
      <c r="F33">
        <f>IF(EXACT(B33,""),"",'Emisiones Proceso Cementeras'!E65)</f>
      </c>
      <c r="G33">
        <f>IF(EXACT(B33,""),"","t CO2/t")</f>
      </c>
      <c r="H33">
        <f>IF(EXACT(B33,""),"",IF('Emisiones Proceso Cementeras'!G65&lt;&gt;0,'Emisiones Proceso Cementeras'!G65,'Emisiones Proceso Cementeras'!F65))</f>
      </c>
      <c r="I33">
        <f>IF(EXACT(B33,""),"",'Emisiones Proceso Cementeras'!H65)</f>
      </c>
      <c r="J33">
        <f>IF(EXACT(B33,""),"",IF('Emisiones Proceso Cementeras'!J65&lt;&gt;0,'Emisiones Proceso Cementeras'!J65,'Emisiones Proceso Cementeras'!I65))</f>
      </c>
      <c r="K33">
        <f>IF(EXACT(B33,""),"",'Emisiones Proceso Cementeras'!K65)</f>
      </c>
    </row>
    <row r="34" spans="1:11" ht="12.75">
      <c r="A34">
        <f t="shared" si="2"/>
      </c>
      <c r="B34">
        <f>IF(AND(ISBLANK('Emisiones Proceso Cementeras'!B65),'Emisiones Proceso Cementeras'!C43&lt;&gt;0),"Crudo Cemento Gris","")</f>
      </c>
      <c r="C34">
        <f>IF(EXACT(B34,""),"",'Emisiones Proceso Cementeras'!C43)</f>
      </c>
      <c r="D34">
        <f>IF(EXACT(B34,""),"","t crudo")</f>
      </c>
      <c r="E34">
        <f>IF(EXACT(B34,""),"",'Emisiones Proceso Cementeras'!E33)</f>
      </c>
      <c r="F34">
        <f>IF(EXACT(B34,""),"",'Emisiones Proceso Cementeras'!F39)</f>
      </c>
      <c r="G34">
        <f>IF(EXACT(B34,""),"","t CO2/t crudo")</f>
      </c>
      <c r="H34">
        <f>IF(EXACT(B34,""),"",'Emisiones Proceso Cementeras'!G33)</f>
      </c>
      <c r="I34">
        <f>IF(EXACT(B34,""),"",'Emisiones Proceso Cementeras'!H33)</f>
      </c>
      <c r="J34">
        <f>IF(EXACT(B34,""),"",IF('Emisiones Proceso Cementeras'!I38&lt;&gt;0,'Emisiones Proceso Cementeras'!I38,'Emisiones Proceso Cementeras'!I33))</f>
      </c>
      <c r="K34">
        <f>IF(EXACT(B34,""),"",'Emisiones Proceso Cementeras'!J33)</f>
      </c>
    </row>
    <row r="35" spans="1:2" ht="12.75">
      <c r="A35" t="s">
        <v>177</v>
      </c>
      <c r="B35" t="s">
        <v>185</v>
      </c>
    </row>
    <row r="36" spans="1:11" ht="12.75">
      <c r="A36" t="s">
        <v>176</v>
      </c>
      <c r="B36" t="s">
        <v>179</v>
      </c>
      <c r="C36" t="s">
        <v>180</v>
      </c>
      <c r="D36" t="s">
        <v>182</v>
      </c>
      <c r="E36" t="s">
        <v>181</v>
      </c>
      <c r="F36" t="s">
        <v>161</v>
      </c>
      <c r="G36" t="s">
        <v>162</v>
      </c>
      <c r="H36" t="s">
        <v>169</v>
      </c>
      <c r="I36" t="s">
        <v>183</v>
      </c>
      <c r="J36" t="s">
        <v>184</v>
      </c>
      <c r="K36" t="s">
        <v>164</v>
      </c>
    </row>
    <row r="37" spans="1:11" ht="12.75">
      <c r="A37">
        <f>IF(OR(ISBLANK(B37),EXACT(B37,"")),"","&gt;")</f>
      </c>
      <c r="B37">
        <f>IF('Emisiones Proceso'!G23&lt;&gt;0,'Emisiones Proceso'!A12,"")</f>
      </c>
      <c r="C37">
        <f>IF('Emisiones Proceso'!G23&lt;&gt;0,'Emisiones Proceso'!G23,"")</f>
      </c>
      <c r="D37">
        <f>IF('Emisiones Proceso'!G23&lt;&gt;0,"t CO32-","")</f>
      </c>
      <c r="E37">
        <f>IF('Emisiones Proceso'!G23&lt;&gt;0,IF(ISBLANK('Emisiones Proceso'!C12),'Emisiones Proceso'!B12,'Emisiones Proceso'!C12),"")</f>
      </c>
      <c r="F37">
        <f>IF('Emisiones Proceso'!G23&lt;&gt;0,'Emisiones Proceso'!I23,"")</f>
      </c>
      <c r="G37">
        <f>IF('Emisiones Proceso'!G23&lt;&gt;0,"t CO2/t CO32-","")</f>
      </c>
      <c r="H37">
        <f>IF('Emisiones Proceso'!G23&lt;&gt;0,'Emisiones Proceso'!H12,"")</f>
      </c>
      <c r="I37">
        <f>IF('Emisiones Proceso'!G40&lt;&gt;0,'Emisiones Proceso'!G40,"")</f>
      </c>
      <c r="J37">
        <f>IF(OR(EXACT('Emisiones Proceso'!G40,""),'Emisiones Proceso'!G40=0),"",'Emisiones Proceso'!B29)</f>
      </c>
      <c r="K37">
        <f>IF('Emisiones Proceso'!G23&lt;&gt;0,'Emisiones Proceso'!G59,"")</f>
      </c>
    </row>
    <row r="38" spans="1:11" ht="12.75">
      <c r="A38">
        <f>IF(OR(ISBLANK(B38),EXACT(B38,"")),"","&gt;")</f>
      </c>
      <c r="B38">
        <f>IF('Emisiones Proceso'!G77&lt;&gt;0,'Emisiones Proceso'!A66,"")</f>
      </c>
      <c r="C38">
        <f>IF('Emisiones Proceso'!G77&lt;&gt;0,'Emisiones Proceso'!G77,"")</f>
      </c>
      <c r="D38">
        <f>IF('Emisiones Proceso'!G77&lt;&gt;0,"t CO32-","")</f>
      </c>
      <c r="E38">
        <f>IF('Emisiones Proceso'!G77&lt;&gt;0,IF(ISBLANK('Emisiones Proceso'!C66),'Emisiones Proceso'!B66,'Emisiones Proceso'!C66),"")</f>
      </c>
      <c r="F38">
        <f>IF('Emisiones Proceso'!G77&lt;&gt;0,'Emisiones Proceso'!I77,"")</f>
      </c>
      <c r="G38">
        <f>IF('Emisiones Proceso'!G77&lt;&gt;0,"t CO2/t CO32-","")</f>
      </c>
      <c r="H38">
        <f>IF('Emisiones Proceso'!G77&lt;&gt;0,'Emisiones Proceso'!H66,"")</f>
      </c>
      <c r="I38">
        <f>IF('Emisiones Proceso'!G94&lt;&gt;0,'Emisiones Proceso'!G94,"")</f>
      </c>
      <c r="J38">
        <f>IF(OR(EXACT('Emisiones Proceso'!G94,""),'Emisiones Proceso'!G94=0),"",'Emisiones Proceso'!B83)</f>
      </c>
      <c r="K38">
        <f>IF('Emisiones Proceso'!G77&lt;&gt;0,'Emisiones Proceso'!G113,"")</f>
      </c>
    </row>
    <row r="39" spans="1:2" ht="12.75">
      <c r="A39" t="s">
        <v>177</v>
      </c>
      <c r="B39" t="s">
        <v>186</v>
      </c>
    </row>
    <row r="40" spans="1:11" ht="12.75">
      <c r="A40" t="s">
        <v>176</v>
      </c>
      <c r="B40" t="s">
        <v>179</v>
      </c>
      <c r="C40" t="s">
        <v>180</v>
      </c>
      <c r="D40" t="s">
        <v>182</v>
      </c>
      <c r="E40" t="s">
        <v>181</v>
      </c>
      <c r="F40" t="s">
        <v>161</v>
      </c>
      <c r="G40" t="s">
        <v>162</v>
      </c>
      <c r="H40" t="s">
        <v>169</v>
      </c>
      <c r="I40" t="s">
        <v>183</v>
      </c>
      <c r="J40" t="s">
        <v>184</v>
      </c>
      <c r="K40" t="s">
        <v>164</v>
      </c>
    </row>
    <row r="41" spans="1:11" ht="12.75">
      <c r="A41">
        <f>IF(OR(ISBLANK(B41),EXACT(B41,"")),"","&gt;")</f>
      </c>
      <c r="B41">
        <f>IF('Emisiones Proceso Vídrio-Fritas'!F22&lt;&gt;0,"Carbonato Vídrio-Fritas 1","")</f>
      </c>
      <c r="C41">
        <f>IF('Emisiones Proceso Vídrio-Fritas'!F22&lt;&gt;0,'Emisiones Proceso Vídrio-Fritas'!F22,"")</f>
      </c>
      <c r="D41">
        <f>IF('Emisiones Proceso Vídrio-Fritas'!F22&lt;&gt;0,"t CO32-","")</f>
      </c>
      <c r="E41">
        <f>IF('Emisiones Proceso Vídrio-Fritas'!F22&lt;&gt;0,IF(ISBLANK('Emisiones Proceso Vídrio-Fritas'!$B$17),'Emisiones Proceso Vídrio-Fritas'!$B$11,'Emisiones Proceso Vídrio-Fritas'!$B$17),"")</f>
      </c>
      <c r="F41">
        <f>IF('Emisiones Proceso Vídrio-Fritas'!F22&lt;&gt;0,'Emisiones Proceso Vídrio-Fritas'!H22,"")</f>
      </c>
      <c r="G41">
        <f>IF('Emisiones Proceso Vídrio-Fritas'!F22&lt;&gt;0,"t CO2/t CO32-","")</f>
      </c>
      <c r="H41">
        <f>IF('Emisiones Proceso Vídrio-Fritas'!F22&lt;&gt;0,IF(ISBLANK('Emisiones Proceso Vídrio-Fritas'!$G$17),'Emisiones Proceso Vídrio-Fritas'!$G$11,'Emisiones Proceso Vídrio-Fritas'!$G$17),"")</f>
      </c>
      <c r="K41">
        <f>IF('Emisiones Proceso Vídrio-Fritas'!F22&lt;&gt;0,'Emisiones Proceso Vídrio-Fritas'!$I$11,"")</f>
      </c>
    </row>
    <row r="42" spans="1:2" ht="12.75">
      <c r="A42" t="s">
        <v>177</v>
      </c>
      <c r="B42" t="s">
        <v>355</v>
      </c>
    </row>
    <row r="43" spans="1:11" ht="12.75">
      <c r="A43" t="s">
        <v>176</v>
      </c>
      <c r="B43" t="s">
        <v>179</v>
      </c>
      <c r="C43" t="s">
        <v>180</v>
      </c>
      <c r="D43" t="s">
        <v>182</v>
      </c>
      <c r="E43" t="s">
        <v>181</v>
      </c>
      <c r="F43" t="s">
        <v>161</v>
      </c>
      <c r="G43" t="s">
        <v>162</v>
      </c>
      <c r="H43" t="s">
        <v>169</v>
      </c>
      <c r="I43" t="s">
        <v>183</v>
      </c>
      <c r="J43" t="s">
        <v>184</v>
      </c>
      <c r="K43" t="s">
        <v>164</v>
      </c>
    </row>
    <row r="44" spans="1:11" ht="12.75">
      <c r="A44">
        <f>IF(OR(ISBLANK(B44),EXACT(B44,"")),"","&gt;")</f>
      </c>
      <c r="B44">
        <f>IF(OR(EXACT('Emisiones Cal'!H15,""),'Emisiones Cal'!H15=0),"",IF(ISBLANK('Emisiones Cal'!B12),"Carbonato Cal 1",'Emisiones Cal'!B12))</f>
      </c>
      <c r="C44">
        <f>IF(OR(EXACT('Emisiones Cal'!H15,""),'Emisiones Cal'!H15=0),"",'Emisiones Cal'!C11)</f>
      </c>
      <c r="D44">
        <f>IF(OR(EXACT('Emisiones Cal'!H15,""),'Emisiones Cal'!H15=0),"","t")</f>
      </c>
      <c r="E44">
        <f>IF(OR(EXACT('Emisiones Cal'!H15,""),'Emisiones Cal'!H15=0),"",'Emisiones Cal'!D11)</f>
      </c>
      <c r="F44">
        <f>IF(OR(EXACT('Emisiones Cal'!H15,""),'Emisiones Cal'!H15=0),"",'Emisiones Cal'!H15)</f>
      </c>
      <c r="G44">
        <f>IF(OR(EXACT('Emisiones Cal'!H15,""),'Emisiones Cal'!H15=0),"","t CO2/t CO32-")</f>
      </c>
      <c r="H44">
        <f>IF(OR(EXACT('Emisiones Cal'!H15,""),'Emisiones Cal'!H15=0),"",'Emisiones Cal'!I11)</f>
      </c>
      <c r="I44">
        <f>IF(OR(EXACT('Emisiones Cal'!H15,""),'Emisiones Cal'!H15=0),"",'Emisiones Cal'!J11)</f>
      </c>
      <c r="J44">
        <f>IF(OR(EXACT('Emisiones Cal'!H15,""),'Emisiones Cal'!H15=0),"",IF(ISBLANK('Emisiones Cal'!L11),'Emisiones Cal'!K11,'Emisiones Cal'!L11))</f>
      </c>
      <c r="K44">
        <f>IF(OR(EXACT('Emisiones Cal'!H15,""),'Emisiones Cal'!H15=0),"",'Emisiones Cal'!M11)</f>
      </c>
    </row>
    <row r="45" spans="1:11" ht="12.75">
      <c r="A45">
        <f>IF(OR(ISBLANK(B45),EXACT(B45,"")),"","&gt;")</f>
      </c>
      <c r="B45">
        <f>IF(OR(EXACT('Emisiones Cal'!H26,""),'Emisiones Cal'!H26=0),"",IF(ISBLANK('Emisiones Cal'!B23),"Carbonato Cal 2",'Emisiones Cal'!B23))</f>
      </c>
      <c r="C45">
        <f>IF(OR(EXACT('Emisiones Cal'!H26,""),'Emisiones Cal'!H26=0),"",'Emisiones Cal'!C22)</f>
      </c>
      <c r="D45">
        <f>IF(OR(EXACT('Emisiones Cal'!H26,""),'Emisiones Cal'!H26=0),"","t")</f>
      </c>
      <c r="E45">
        <f>IF(OR(EXACT('Emisiones Cal'!H26,""),'Emisiones Cal'!H26=0),"",'Emisiones Cal'!D22)</f>
      </c>
      <c r="F45">
        <f>IF(OR(EXACT('Emisiones Cal'!H26,""),'Emisiones Cal'!H26=0),"",'Emisiones Cal'!H26)</f>
      </c>
      <c r="G45">
        <f>IF(OR(EXACT('Emisiones Cal'!H26,""),'Emisiones Cal'!H26=0),"","t CO2/t CO32-")</f>
      </c>
      <c r="H45">
        <f>IF(OR(EXACT('Emisiones Cal'!H26,""),'Emisiones Cal'!H26=0),"",'Emisiones Cal'!I22)</f>
      </c>
      <c r="I45">
        <f>IF(OR(EXACT('Emisiones Cal'!H26,""),'Emisiones Cal'!H26=0),"",'Emisiones Cal'!J22)</f>
      </c>
      <c r="J45">
        <f>IF(OR(EXACT('Emisiones Cal'!H26,""),'Emisiones Cal'!H26=0),"",IF(ISBLANK('Emisiones Cal'!L22),'Emisiones Cal'!K22,'Emisiones Cal'!L22))</f>
      </c>
      <c r="K45">
        <f>IF(OR(EXACT('Emisiones Cal'!H26,""),'Emisiones Cal'!H26=0),"",'Emisiones Cal'!M22)</f>
      </c>
    </row>
  </sheetData>
  <sheetProtection password="D51C" sheet="1" objects="1" scenarios="1"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/>
  <dimension ref="A1:AP127"/>
  <sheetViews>
    <sheetView zoomScalePageLayoutView="0" workbookViewId="0" topLeftCell="A3">
      <pane ySplit="2" topLeftCell="A5" activePane="bottomLeft" state="frozen"/>
      <selection pane="topLeft" activeCell="A3" sqref="A3"/>
      <selection pane="bottomLeft" activeCell="C8" sqref="C8:C9"/>
    </sheetView>
  </sheetViews>
  <sheetFormatPr defaultColWidth="11.421875" defaultRowHeight="12.75"/>
  <cols>
    <col min="1" max="1" width="25.28125" style="12" customWidth="1"/>
    <col min="2" max="2" width="1.421875" style="12" customWidth="1"/>
    <col min="3" max="3" width="9.57421875" style="12" customWidth="1"/>
    <col min="4" max="4" width="8.00390625" style="12" customWidth="1"/>
    <col min="5" max="5" width="9.57421875" style="113" customWidth="1"/>
    <col min="6" max="6" width="9.57421875" style="12" customWidth="1"/>
    <col min="7" max="7" width="1.421875" style="12" customWidth="1"/>
    <col min="8" max="8" width="12.8515625" style="12" customWidth="1"/>
    <col min="9" max="9" width="8.00390625" style="12" customWidth="1"/>
    <col min="10" max="10" width="9.57421875" style="113" customWidth="1"/>
    <col min="11" max="11" width="9.57421875" style="12" customWidth="1"/>
    <col min="12" max="12" width="1.421875" style="12" customWidth="1"/>
    <col min="13" max="14" width="9.57421875" style="12" customWidth="1"/>
    <col min="15" max="15" width="9.57421875" style="113" customWidth="1"/>
    <col min="16" max="16" width="9.57421875" style="12" customWidth="1"/>
    <col min="17" max="17" width="1.421875" style="12" customWidth="1"/>
    <col min="18" max="18" width="12.7109375" style="12" customWidth="1"/>
    <col min="19" max="19" width="9.57421875" style="12" customWidth="1"/>
    <col min="20" max="20" width="9.8515625" style="12" customWidth="1"/>
    <col min="21" max="21" width="14.7109375" style="12" customWidth="1"/>
    <col min="22" max="22" width="5.140625" style="49" hidden="1" customWidth="1"/>
    <col min="23" max="23" width="9.57421875" style="12" hidden="1" customWidth="1"/>
    <col min="24" max="25" width="8.00390625" style="12" hidden="1" customWidth="1"/>
    <col min="26" max="26" width="7.28125" style="127" hidden="1" customWidth="1"/>
    <col min="27" max="27" width="11.7109375" style="127" hidden="1" customWidth="1"/>
    <col min="28" max="28" width="8.421875" style="127" hidden="1" customWidth="1"/>
    <col min="29" max="31" width="11.140625" style="127" hidden="1" customWidth="1"/>
    <col min="32" max="40" width="11.140625" style="128" hidden="1" customWidth="1"/>
    <col min="41" max="43" width="11.140625" style="127" hidden="1" customWidth="1"/>
    <col min="44" max="53" width="11.140625" style="127" customWidth="1"/>
    <col min="54" max="55" width="11.421875" style="72" customWidth="1"/>
    <col min="56" max="57" width="11.421875" style="12" customWidth="1"/>
    <col min="58" max="16384" width="11.421875" style="12" customWidth="1"/>
  </cols>
  <sheetData>
    <row r="1" spans="1:21" ht="12.75">
      <c r="A1" s="14"/>
      <c r="B1" s="14"/>
      <c r="C1" s="14"/>
      <c r="D1" s="14"/>
      <c r="E1" s="108"/>
      <c r="F1" s="14"/>
      <c r="G1" s="14"/>
      <c r="H1" s="14"/>
      <c r="I1" s="14"/>
      <c r="J1" s="108"/>
      <c r="K1" s="14"/>
      <c r="L1" s="14"/>
      <c r="M1" s="14"/>
      <c r="N1" s="14"/>
      <c r="O1" s="108"/>
      <c r="P1" s="14"/>
      <c r="Q1" s="14"/>
      <c r="R1" s="14"/>
      <c r="S1" s="14"/>
      <c r="T1" s="14"/>
      <c r="U1" s="14"/>
    </row>
    <row r="2" spans="1:21" ht="12.75">
      <c r="A2" s="14"/>
      <c r="B2" s="14"/>
      <c r="C2" s="14"/>
      <c r="D2" s="14"/>
      <c r="E2" s="108"/>
      <c r="F2" s="14"/>
      <c r="G2" s="14"/>
      <c r="H2" s="14"/>
      <c r="I2" s="14"/>
      <c r="J2" s="108"/>
      <c r="K2" s="14"/>
      <c r="L2" s="14"/>
      <c r="M2" s="14"/>
      <c r="N2" s="14"/>
      <c r="O2" s="108"/>
      <c r="P2" s="14"/>
      <c r="Q2" s="14"/>
      <c r="R2" s="14"/>
      <c r="S2" s="14"/>
      <c r="T2" s="14"/>
      <c r="U2" s="14"/>
    </row>
    <row r="3" spans="1:19" ht="12.75">
      <c r="A3" s="29" t="s">
        <v>31</v>
      </c>
      <c r="B3" s="30"/>
      <c r="C3" s="30"/>
      <c r="D3" s="30"/>
      <c r="E3" s="109"/>
      <c r="F3" s="30"/>
      <c r="G3" s="13"/>
      <c r="H3" s="13"/>
      <c r="I3" s="13"/>
      <c r="J3" s="112"/>
      <c r="K3" s="13"/>
      <c r="L3" s="13"/>
      <c r="M3" s="112"/>
      <c r="N3" s="13"/>
      <c r="O3" s="112"/>
      <c r="P3" s="13"/>
      <c r="Q3" s="13"/>
      <c r="R3" s="13"/>
      <c r="S3" s="13"/>
    </row>
    <row r="4" spans="1:20" ht="20.25" customHeight="1">
      <c r="A4" s="15" t="s">
        <v>98</v>
      </c>
      <c r="B4" s="16"/>
      <c r="C4" s="16"/>
      <c r="D4" s="16"/>
      <c r="E4" s="110"/>
      <c r="F4" s="16"/>
      <c r="G4" s="16"/>
      <c r="H4" s="16"/>
      <c r="I4" s="16"/>
      <c r="J4" s="112"/>
      <c r="K4" s="13"/>
      <c r="L4" s="13"/>
      <c r="P4" s="13"/>
      <c r="Q4" s="13"/>
      <c r="R4" s="17"/>
      <c r="T4" s="13"/>
    </row>
    <row r="5" spans="1:21" ht="12.75">
      <c r="A5" s="58" t="s">
        <v>32</v>
      </c>
      <c r="B5" s="107"/>
      <c r="C5" s="392">
        <f>IF(Inicio!E12&lt;&gt;0,Inicio!E12,"")</f>
      </c>
      <c r="D5" s="392"/>
      <c r="E5" s="392"/>
      <c r="F5" s="392"/>
      <c r="G5" s="392"/>
      <c r="H5" s="392"/>
      <c r="I5" s="392"/>
      <c r="J5" s="392"/>
      <c r="K5" s="392"/>
      <c r="L5" s="393"/>
      <c r="M5" s="393"/>
      <c r="N5" s="393"/>
      <c r="O5" s="393"/>
      <c r="P5" s="393"/>
      <c r="Q5" s="393"/>
      <c r="R5" s="393"/>
      <c r="S5" s="393"/>
      <c r="T5" s="393"/>
      <c r="U5" s="393"/>
    </row>
    <row r="6" spans="1:21" ht="14.25" customHeight="1">
      <c r="A6" s="382" t="s">
        <v>58</v>
      </c>
      <c r="B6" s="13"/>
      <c r="C6" s="369" t="s">
        <v>33</v>
      </c>
      <c r="D6" s="375"/>
      <c r="E6" s="375"/>
      <c r="F6" s="375"/>
      <c r="G6" s="375"/>
      <c r="H6" s="375"/>
      <c r="I6" s="375"/>
      <c r="J6" s="375"/>
      <c r="K6" s="356"/>
      <c r="M6" s="369" t="s">
        <v>144</v>
      </c>
      <c r="N6" s="370"/>
      <c r="O6" s="370"/>
      <c r="P6" s="371"/>
      <c r="Q6" s="13"/>
      <c r="R6" s="369" t="s">
        <v>99</v>
      </c>
      <c r="S6" s="383"/>
      <c r="T6" s="383"/>
      <c r="U6" s="38" t="s">
        <v>96</v>
      </c>
    </row>
    <row r="7" spans="1:42" ht="36.75" customHeight="1">
      <c r="A7" s="382"/>
      <c r="B7" s="13"/>
      <c r="C7" s="358" t="s">
        <v>245</v>
      </c>
      <c r="D7" s="359"/>
      <c r="E7" s="355" t="s">
        <v>251</v>
      </c>
      <c r="F7" s="356"/>
      <c r="G7" s="36"/>
      <c r="H7" s="118" t="s">
        <v>247</v>
      </c>
      <c r="I7" s="124"/>
      <c r="J7" s="355" t="s">
        <v>248</v>
      </c>
      <c r="K7" s="357"/>
      <c r="L7" s="18"/>
      <c r="M7" s="358" t="s">
        <v>249</v>
      </c>
      <c r="N7" s="359"/>
      <c r="O7" s="355" t="s">
        <v>248</v>
      </c>
      <c r="P7" s="357"/>
      <c r="Q7" s="18"/>
      <c r="R7" s="37" t="s">
        <v>250</v>
      </c>
      <c r="S7" s="355" t="s">
        <v>248</v>
      </c>
      <c r="T7" s="357"/>
      <c r="U7" s="39" t="s">
        <v>97</v>
      </c>
      <c r="AF7" s="128" t="s">
        <v>53</v>
      </c>
      <c r="AG7" s="128" t="s">
        <v>54</v>
      </c>
      <c r="AH7" s="128" t="s">
        <v>55</v>
      </c>
      <c r="AI7" s="128" t="s">
        <v>28</v>
      </c>
      <c r="AJ7" s="128" t="s">
        <v>56</v>
      </c>
      <c r="AK7" s="128" t="s">
        <v>67</v>
      </c>
      <c r="AL7" s="129" t="s">
        <v>29</v>
      </c>
      <c r="AM7" s="128" t="s">
        <v>30</v>
      </c>
      <c r="AN7" s="128" t="s">
        <v>147</v>
      </c>
      <c r="AO7" s="127" t="s">
        <v>252</v>
      </c>
      <c r="AP7" s="127" t="s">
        <v>254</v>
      </c>
    </row>
    <row r="8" spans="1:42" ht="15.75" customHeight="1">
      <c r="A8" s="19"/>
      <c r="B8" s="381" t="s">
        <v>20</v>
      </c>
      <c r="C8" s="376"/>
      <c r="D8" s="151">
        <v>1</v>
      </c>
      <c r="E8" s="378">
        <f>IF($AI8&lt;&gt;"O",INDEX(TANEXO,MATCH($AI8,TANEXO_TIPO,),MATCH("ACT_"&amp;$AG8,TANEXO_CAMPOS,)),"")</f>
      </c>
      <c r="F8" s="366"/>
      <c r="G8" s="20" t="s">
        <v>22</v>
      </c>
      <c r="H8" s="117">
        <f>IF($K8="",IF(ISBLANK($H9),IF($AI8&lt;&gt;"O",IF(UPPER($AM8)="2A",$AK8,""),""),""),IF(UPPER($K8)="2A",$AK8,""))</f>
      </c>
      <c r="I8" s="123">
        <f>IF(ISBLANK($H8),"",IF($H8="","",INDEX(TVALCAL,MATCH($AH8,TVALCAL_FILAS,),MATCH("Unidad",TVALCAL_CAMPOS,))))</f>
      </c>
      <c r="J8" s="378">
        <f>IF($AI8&lt;&gt;"O",INDEX(TANEXO,MATCH($AI8,TANEXO_TIPO,),MATCH("CAL_"&amp;$AG8,TANEXO_CAMPOS,)),"")</f>
      </c>
      <c r="K8" s="366"/>
      <c r="L8" s="20" t="s">
        <v>35</v>
      </c>
      <c r="M8" s="63">
        <f>IF($AN8="S",0,IF(ISBLANK($M9),IF($AI8&lt;&gt;"O",IF(UPPER($O8)="2A",$AJ8,IF(UPPER($P8)="2A",$AJ8,"")),""),""))</f>
      </c>
      <c r="N8" s="121">
        <f>IF(ISBLANK($M8),"",IF($M8=0,"",IF($M8="","","tCO2/TJ")))</f>
      </c>
      <c r="O8" s="360">
        <f>IF($AI8&lt;&gt;"O",INDEX(TANEXO,MATCH($AI8,TANEXO_TIPO,),MATCH("EMI_"&amp;$AG8,TANEXO_CAMPOS,)),"")</f>
      </c>
      <c r="P8" s="366"/>
      <c r="Q8" s="20" t="s">
        <v>36</v>
      </c>
      <c r="R8" s="64">
        <f>IF($T8=2,INDEX(TVALCAL,MATCH($AH8,TVALCAL_FILAS,),MATCH("FacOxi",TVALCAL_CAMPOS,)),IF($T8=3,"",IF($S8=1,1,"")))</f>
      </c>
      <c r="S8" s="378">
        <f>IF($AI8&lt;&gt;"O",INDEX(TANEXO,MATCH($AI8,TANEXO_TIPO,),MATCH("OXI_"&amp;$AG8,TANEXO_CAMPOS,)),"")</f>
      </c>
      <c r="T8" s="161">
        <v>1</v>
      </c>
      <c r="U8" s="387">
        <f>IF($W12="",IF($X12="",IF(ISERROR($AA11),0,$AA11),""),"")</f>
        <v>0</v>
      </c>
      <c r="AF8" s="130">
        <f>Inicio!$AA$1</f>
        <v>2</v>
      </c>
      <c r="AG8" s="129" t="str">
        <f>INDEX(TRANGO,MATCH($AF$8,TRANGO_FILAS,),MATCH("Tipo",TRANGO_CAMPOS,))</f>
        <v>B</v>
      </c>
      <c r="AH8" s="130">
        <v>1</v>
      </c>
      <c r="AI8" s="129" t="str">
        <f>INDEX(TVALCAL,MATCH($AH8,TVALCAL_FILAS,),MATCH("Tipo",TVALCAL_CAMPOS,))</f>
        <v>O</v>
      </c>
      <c r="AJ8" s="129">
        <f>IF($AN8="O","",INDEX(TVALCAL,MATCH($AH8,TVALCAL_FILAS,),MATCH("FacEmi",TVALCAL_CAMPOS,)))</f>
        <v>0</v>
      </c>
      <c r="AK8" s="129">
        <f>INDEX(TVALCAL,MATCH($AH8,TVALCAL_FILAS,),MATCH("V.C.N.",TVALCAL_CAMPOS,))</f>
        <v>0</v>
      </c>
      <c r="AL8" s="129" t="e">
        <f>INDEX(TANEXO,MATCH($AI8,TANEXO_TIPO,),MATCH("Id",TANEXO_CAMPOS,))</f>
        <v>#N/A</v>
      </c>
      <c r="AM8" s="129" t="e">
        <f>INDEX(TANEXO,MATCH($AI8,TANEXO_TIPO,),MATCH("CAL_"&amp;$AG8,TANEXO_CAMPOS,))</f>
        <v>#N/A</v>
      </c>
      <c r="AN8" s="129" t="str">
        <f>INDEX(TVALCAL,MATCH($AH8,TVALCAL_FILAS,),MATCH("EsBio",TVALCAL_CAMPOS,))</f>
        <v>N</v>
      </c>
      <c r="AO8" s="127">
        <f>INDEX(TVALCAL,MATCH($AH8,TVALCAL_FILAS,),MATCH("NoSelec",TVALCAL_CAMPOS,))</f>
        <v>0</v>
      </c>
      <c r="AP8" s="127">
        <f>INDEX(TVALCAL,MATCH($AH8,TVALCAL_FILAS,),MATCH("FacOxi",TVALCAL_CAMPOS,))</f>
        <v>0</v>
      </c>
    </row>
    <row r="9" spans="1:34" ht="15.75" customHeight="1">
      <c r="A9" s="379"/>
      <c r="B9" s="381"/>
      <c r="C9" s="377"/>
      <c r="D9" s="150"/>
      <c r="E9" s="361"/>
      <c r="F9" s="367"/>
      <c r="G9" s="20" t="s">
        <v>25</v>
      </c>
      <c r="H9" s="242"/>
      <c r="I9" s="122">
        <v>1</v>
      </c>
      <c r="J9" s="361"/>
      <c r="K9" s="367"/>
      <c r="L9" s="20" t="s">
        <v>37</v>
      </c>
      <c r="M9" s="240"/>
      <c r="N9" s="116">
        <v>1</v>
      </c>
      <c r="O9" s="361"/>
      <c r="P9" s="367"/>
      <c r="Q9" s="20" t="s">
        <v>38</v>
      </c>
      <c r="R9" s="239"/>
      <c r="S9" s="384"/>
      <c r="T9" s="160"/>
      <c r="U9" s="388"/>
      <c r="AH9" s="55"/>
    </row>
    <row r="10" spans="1:34" ht="15.75" customHeight="1">
      <c r="A10" s="380"/>
      <c r="B10" s="21" t="s">
        <v>21</v>
      </c>
      <c r="C10" s="238"/>
      <c r="D10" s="126">
        <f>IF(ISBLANK(C10),"","TJ")</f>
      </c>
      <c r="E10" s="362"/>
      <c r="F10" s="368"/>
      <c r="G10" s="13"/>
      <c r="H10" s="13"/>
      <c r="I10" s="13"/>
      <c r="J10" s="362"/>
      <c r="K10" s="368"/>
      <c r="L10" s="22"/>
      <c r="M10" s="22"/>
      <c r="N10" s="22"/>
      <c r="O10" s="362"/>
      <c r="P10" s="368"/>
      <c r="Q10" s="22"/>
      <c r="R10" s="22"/>
      <c r="S10" s="385"/>
      <c r="T10" s="160"/>
      <c r="U10" s="389"/>
      <c r="AH10" s="55"/>
    </row>
    <row r="11" spans="1:28" ht="12.75">
      <c r="A11" s="103"/>
      <c r="B11" s="103"/>
      <c r="C11" s="104"/>
      <c r="D11" s="104"/>
      <c r="E11" s="111"/>
      <c r="F11" s="153"/>
      <c r="G11" s="103"/>
      <c r="H11" s="265">
        <f>Y12</f>
      </c>
      <c r="I11" s="104"/>
      <c r="J11" s="111"/>
      <c r="K11" s="154"/>
      <c r="L11" s="103"/>
      <c r="M11" s="104"/>
      <c r="N11" s="104">
        <v>1</v>
      </c>
      <c r="O11" s="111"/>
      <c r="P11" s="153"/>
      <c r="Q11" s="103"/>
      <c r="R11" s="104"/>
      <c r="S11" s="72"/>
      <c r="T11" s="103"/>
      <c r="U11" s="104"/>
      <c r="V11" s="125"/>
      <c r="W11" s="127">
        <f>IF(ISBLANK($C8),$C10,IF(ISBLANK($C10),$C8,""))</f>
        <v>0</v>
      </c>
      <c r="X11" s="127">
        <f>IF(ISBLANK($H9),$H8,$H9)</f>
      </c>
      <c r="Y11" s="72">
        <f>IF(ISBLANK($M9),$M8,$M9)</f>
      </c>
      <c r="Z11" s="127">
        <f>IF(ISBLANK($R9),$R8,$R9)</f>
      </c>
      <c r="AA11" s="127" t="e">
        <f>$Z11*IF(ISBLANK($C10),$X11,1)*$Y11*$W11</f>
        <v>#VALUE!</v>
      </c>
      <c r="AB11" s="127">
        <f>IF($W12="",IF(ISERROR($AA11),"",$AA11),"")</f>
      </c>
    </row>
    <row r="12" spans="1:25" ht="12.75">
      <c r="A12" s="13"/>
      <c r="B12" s="13"/>
      <c r="C12" s="265">
        <f>X12</f>
      </c>
      <c r="D12" s="13"/>
      <c r="E12" s="112"/>
      <c r="F12" s="154"/>
      <c r="G12" s="13"/>
      <c r="H12" s="13"/>
      <c r="I12" s="13"/>
      <c r="J12" s="112"/>
      <c r="K12" s="265">
        <f>W12</f>
      </c>
      <c r="L12" s="13"/>
      <c r="M12" s="13"/>
      <c r="N12" s="13"/>
      <c r="O12" s="112"/>
      <c r="P12" s="154"/>
      <c r="Q12" s="13"/>
      <c r="R12" s="13"/>
      <c r="T12" s="154"/>
      <c r="W12" s="232">
        <f>IF($AO8="2b",IF(UPPER(K$8)="2B","No se permite 2b",""),"")</f>
      </c>
      <c r="X12" s="231">
        <f>IF($AO8="2b",IF($C10&lt;&gt;"","No se permite introducir valor",""),"")</f>
      </c>
      <c r="Y12" s="12">
        <f>IF(AND(D8=3,I9&lt;&gt;3),IF(AH8=2,"Las unidades de V.C.N deben ser TJ/t (Valor inventario 0.04824 TJ/t)","Las unidades de V.C.N deben ser TJ/t"),IF(AND(D8=2,I9&lt;&gt;2),"Las unidades de V.C.N deben ser TJ/m3",""))</f>
      </c>
    </row>
    <row r="13" spans="1:21" ht="14.25" customHeight="1">
      <c r="A13" s="382" t="s">
        <v>59</v>
      </c>
      <c r="B13" s="13"/>
      <c r="C13" s="369" t="s">
        <v>33</v>
      </c>
      <c r="D13" s="375"/>
      <c r="E13" s="375"/>
      <c r="F13" s="375"/>
      <c r="G13" s="375"/>
      <c r="H13" s="375"/>
      <c r="I13" s="375"/>
      <c r="J13" s="375"/>
      <c r="K13" s="356"/>
      <c r="M13" s="369" t="s">
        <v>144</v>
      </c>
      <c r="N13" s="370"/>
      <c r="O13" s="370"/>
      <c r="P13" s="371"/>
      <c r="Q13" s="13"/>
      <c r="R13" s="369" t="s">
        <v>99</v>
      </c>
      <c r="S13" s="383"/>
      <c r="T13" s="383"/>
      <c r="U13" s="38" t="s">
        <v>96</v>
      </c>
    </row>
    <row r="14" spans="1:42" ht="36.75" customHeight="1">
      <c r="A14" s="382"/>
      <c r="B14" s="13"/>
      <c r="C14" s="358" t="s">
        <v>246</v>
      </c>
      <c r="D14" s="359"/>
      <c r="E14" s="355" t="s">
        <v>251</v>
      </c>
      <c r="F14" s="356"/>
      <c r="G14" s="36"/>
      <c r="H14" s="118" t="s">
        <v>247</v>
      </c>
      <c r="I14" s="124"/>
      <c r="J14" s="355" t="s">
        <v>248</v>
      </c>
      <c r="K14" s="357"/>
      <c r="L14" s="18"/>
      <c r="M14" s="358" t="s">
        <v>249</v>
      </c>
      <c r="N14" s="359"/>
      <c r="O14" s="355" t="s">
        <v>248</v>
      </c>
      <c r="P14" s="357"/>
      <c r="Q14" s="18"/>
      <c r="R14" s="37" t="s">
        <v>250</v>
      </c>
      <c r="S14" s="355" t="s">
        <v>248</v>
      </c>
      <c r="T14" s="357"/>
      <c r="U14" s="39" t="s">
        <v>97</v>
      </c>
      <c r="AF14" s="128" t="s">
        <v>53</v>
      </c>
      <c r="AG14" s="128" t="s">
        <v>54</v>
      </c>
      <c r="AH14" s="128" t="s">
        <v>55</v>
      </c>
      <c r="AI14" s="128" t="s">
        <v>28</v>
      </c>
      <c r="AJ14" s="128" t="s">
        <v>56</v>
      </c>
      <c r="AK14" s="128" t="s">
        <v>67</v>
      </c>
      <c r="AL14" s="129" t="s">
        <v>29</v>
      </c>
      <c r="AM14" s="128" t="s">
        <v>30</v>
      </c>
      <c r="AN14" s="128" t="s">
        <v>147</v>
      </c>
      <c r="AO14" s="127" t="s">
        <v>252</v>
      </c>
      <c r="AP14" s="127" t="s">
        <v>254</v>
      </c>
    </row>
    <row r="15" spans="1:42" ht="15.75" customHeight="1">
      <c r="A15" s="19"/>
      <c r="B15" s="381" t="s">
        <v>20</v>
      </c>
      <c r="C15" s="376"/>
      <c r="D15" s="151">
        <v>1</v>
      </c>
      <c r="E15" s="378">
        <f>IF($AI15&lt;&gt;"O",INDEX(TANEXO,MATCH($AI15,TANEXO_TIPO,),MATCH("ACT_"&amp;$AG15,TANEXO_CAMPOS,)),"")</f>
      </c>
      <c r="F15" s="363"/>
      <c r="G15" s="20" t="s">
        <v>22</v>
      </c>
      <c r="H15" s="117">
        <f>IF($K15="",IF(ISBLANK($H16),IF($AI15&lt;&gt;"O",IF(UPPER($AM15)="2A",$AK15,""),""),""),IF(UPPER($K15)="2A",$AK15,""))</f>
      </c>
      <c r="I15" s="123">
        <f>IF(ISBLANK($H15),"",IF($H15="","",INDEX(TVALCAL,MATCH($AH15,TVALCAL_FILAS,),MATCH("Unidad",TVALCAL_CAMPOS,))))</f>
      </c>
      <c r="J15" s="378">
        <f>IF($AI15&lt;&gt;"O",INDEX(TANEXO,MATCH($AI15,TANEXO_TIPO,),MATCH("CAL_"&amp;$AG15,TANEXO_CAMPOS,)),"")</f>
      </c>
      <c r="K15" s="366"/>
      <c r="L15" s="20" t="s">
        <v>35</v>
      </c>
      <c r="M15" s="63">
        <f>IF($AN15="S",0,IF(ISBLANK($M16),IF($AI15&lt;&gt;"O",IF(UPPER($O15)="2A",$AJ15,IF(UPPER($P15)="2A",$AJ15,"")),""),""))</f>
      </c>
      <c r="N15" s="121">
        <f>IF(ISBLANK($M15),"",IF($M15=0,"",IF($M15="","","tCO2/TJ")))</f>
      </c>
      <c r="O15" s="360">
        <f>IF($AI15&lt;&gt;"O",INDEX(TANEXO,MATCH($AI15,TANEXO_TIPO,),MATCH("EMI_"&amp;$AG15,TANEXO_CAMPOS,)),"")</f>
      </c>
      <c r="P15" s="366"/>
      <c r="Q15" s="20" t="s">
        <v>36</v>
      </c>
      <c r="R15" s="64">
        <f>IF($T15=2,INDEX(TVALCAL,MATCH($AH15,TVALCAL_FILAS,),MATCH("FacOxi",TVALCAL_CAMPOS,)),IF($T15=3,"",IF($S15=1,1,"")))</f>
      </c>
      <c r="S15" s="378">
        <f>IF($AI15&lt;&gt;"O",INDEX(TANEXO,MATCH($AI15,TANEXO_TIPO,),MATCH("OXI_"&amp;$AG15,TANEXO_CAMPOS,)),"")</f>
      </c>
      <c r="T15" s="155">
        <v>1</v>
      </c>
      <c r="U15" s="387">
        <f>IF(ISERROR($AA18),0,$AA18)</f>
        <v>0</v>
      </c>
      <c r="AF15" s="130">
        <f>Inicio!$AA$1</f>
        <v>2</v>
      </c>
      <c r="AG15" s="129" t="str">
        <f>INDEX(TRANGO,MATCH($AF$8,TRANGO_FILAS,),MATCH("Tipo",TRANGO_CAMPOS,))</f>
        <v>B</v>
      </c>
      <c r="AH15" s="130">
        <v>1</v>
      </c>
      <c r="AI15" s="129" t="str">
        <f>INDEX(TVALCAL,MATCH($AH15,TVALCAL_FILAS,),MATCH("Tipo",TVALCAL_CAMPOS,))</f>
        <v>O</v>
      </c>
      <c r="AJ15" s="129">
        <f>IF($AN15="O","",INDEX(TVALCAL,MATCH($AH15,TVALCAL_FILAS,),MATCH("FacEmi",TVALCAL_CAMPOS,)))</f>
        <v>0</v>
      </c>
      <c r="AK15" s="129">
        <f>INDEX(TVALCAL,MATCH($AH15,TVALCAL_FILAS,),MATCH("V.C.N.",TVALCAL_CAMPOS,))</f>
        <v>0</v>
      </c>
      <c r="AL15" s="129" t="e">
        <f>INDEX(TANEXO,MATCH($AI15,TANEXO_TIPO,),MATCH("Id",TANEXO_CAMPOS,))</f>
        <v>#N/A</v>
      </c>
      <c r="AM15" s="129" t="e">
        <f>INDEX(TANEXO,MATCH($AI15,TANEXO_TIPO,),MATCH("CAL_"&amp;$AG15,TANEXO_CAMPOS,))</f>
        <v>#N/A</v>
      </c>
      <c r="AN15" s="129" t="str">
        <f>INDEX(TVALCAL,MATCH($AH15,TVALCAL_FILAS,),MATCH("EsBio",TVALCAL_CAMPOS,))</f>
        <v>N</v>
      </c>
      <c r="AO15" s="127">
        <f>INDEX(TVALCAL,MATCH($AH15,TVALCAL_FILAS,),MATCH("NoSelec",TVALCAL_CAMPOS,))</f>
        <v>0</v>
      </c>
      <c r="AP15" s="127">
        <f>INDEX(TVALCAL,MATCH($AH15,TVALCAL_FILAS,),MATCH("FacOxi",TVALCAL_CAMPOS,))</f>
        <v>0</v>
      </c>
    </row>
    <row r="16" spans="1:21" ht="15.75" customHeight="1">
      <c r="A16" s="379"/>
      <c r="B16" s="381"/>
      <c r="C16" s="377"/>
      <c r="D16" s="150"/>
      <c r="E16" s="361"/>
      <c r="F16" s="364"/>
      <c r="G16" s="20" t="s">
        <v>25</v>
      </c>
      <c r="H16" s="242"/>
      <c r="I16" s="122">
        <v>1</v>
      </c>
      <c r="J16" s="361"/>
      <c r="K16" s="367"/>
      <c r="L16" s="20" t="s">
        <v>37</v>
      </c>
      <c r="M16" s="240"/>
      <c r="N16" s="116">
        <v>1</v>
      </c>
      <c r="O16" s="361"/>
      <c r="P16" s="367"/>
      <c r="Q16" s="20" t="s">
        <v>38</v>
      </c>
      <c r="R16" s="239"/>
      <c r="S16" s="384"/>
      <c r="T16" s="162"/>
      <c r="U16" s="388"/>
    </row>
    <row r="17" spans="1:21" ht="15.75" customHeight="1">
      <c r="A17" s="380"/>
      <c r="B17" s="21" t="s">
        <v>21</v>
      </c>
      <c r="C17" s="238"/>
      <c r="D17" s="126">
        <f>IF(ISBLANK(C17),"","TJ")</f>
      </c>
      <c r="E17" s="362"/>
      <c r="F17" s="365"/>
      <c r="G17" s="13"/>
      <c r="H17" s="13"/>
      <c r="I17" s="13"/>
      <c r="J17" s="362"/>
      <c r="K17" s="368"/>
      <c r="L17" s="22"/>
      <c r="M17" s="22"/>
      <c r="N17" s="22"/>
      <c r="O17" s="362"/>
      <c r="P17" s="368"/>
      <c r="Q17" s="22"/>
      <c r="R17" s="22"/>
      <c r="S17" s="385"/>
      <c r="T17" s="162"/>
      <c r="U17" s="389"/>
    </row>
    <row r="18" spans="1:28" ht="12.75">
      <c r="A18" s="103"/>
      <c r="B18" s="103"/>
      <c r="C18" s="104"/>
      <c r="D18" s="104"/>
      <c r="E18" s="111"/>
      <c r="F18" s="103"/>
      <c r="G18" s="103"/>
      <c r="H18" s="265">
        <f>Y19</f>
      </c>
      <c r="I18" s="104"/>
      <c r="J18" s="111"/>
      <c r="K18" s="103"/>
      <c r="L18" s="103"/>
      <c r="M18" s="104"/>
      <c r="N18" s="104"/>
      <c r="O18" s="111"/>
      <c r="P18" s="103"/>
      <c r="Q18" s="103"/>
      <c r="R18" s="104"/>
      <c r="S18" s="72"/>
      <c r="T18" s="163"/>
      <c r="U18" s="104"/>
      <c r="V18" s="125"/>
      <c r="W18" s="127">
        <f>IF(ISBLANK($C15),$C17,IF(ISBLANK($C17),$C15,""))</f>
        <v>0</v>
      </c>
      <c r="X18" s="72">
        <f>IF(ISBLANK($H16),$H15,$H16)</f>
      </c>
      <c r="Y18" s="72">
        <f>IF(ISBLANK($M16),$M15,$M16)</f>
      </c>
      <c r="Z18" s="127">
        <f>IF(ISBLANK($R16),$R15,$R16)</f>
      </c>
      <c r="AA18" s="127" t="e">
        <f>$Z18*IF(ISBLANK($C17),$X18,1)*$Y18*$W18</f>
        <v>#VALUE!</v>
      </c>
      <c r="AB18" s="127">
        <f>IF($W19="",IF(ISERROR($AA18),"",$AA18),"")</f>
      </c>
    </row>
    <row r="19" spans="1:25" ht="12.75">
      <c r="A19" s="13"/>
      <c r="B19" s="13"/>
      <c r="C19" s="265">
        <f>X19</f>
      </c>
      <c r="D19" s="13"/>
      <c r="E19" s="112"/>
      <c r="F19" s="13"/>
      <c r="G19" s="13"/>
      <c r="H19" s="13"/>
      <c r="I19" s="13"/>
      <c r="J19" s="112"/>
      <c r="K19" s="265">
        <f>W19</f>
      </c>
      <c r="L19" s="13"/>
      <c r="M19" s="13"/>
      <c r="N19" s="13"/>
      <c r="O19" s="112"/>
      <c r="P19" s="13"/>
      <c r="Q19" s="13"/>
      <c r="R19" s="13"/>
      <c r="W19" s="127">
        <f>IF($AO15="2b",IF(UPPER(K$15)="2B","No se permite 2b",""),"")</f>
      </c>
      <c r="X19" s="12">
        <f>IF($AO15="2b",IF($C17&lt;&gt;"","No se permite introducir valor",""),"")</f>
      </c>
      <c r="Y19" s="12">
        <f>IF(AND(D15=3,I16&lt;&gt;3),IF(AH15=2,"Las unidades de V.C.N deben ser TJ/t (Valor inventario 0.04824 TJ/t)","Las unidades de V.C.N deben ser TJ/t"),IF(AND(D15=2,I16&lt;&gt;2),"Las unidades de V.C.N deben ser TJ/m3",""))</f>
      </c>
    </row>
    <row r="20" spans="1:21" ht="14.25" customHeight="1">
      <c r="A20" s="382" t="s">
        <v>60</v>
      </c>
      <c r="B20" s="13"/>
      <c r="C20" s="369" t="s">
        <v>33</v>
      </c>
      <c r="D20" s="375"/>
      <c r="E20" s="375"/>
      <c r="F20" s="375"/>
      <c r="G20" s="375"/>
      <c r="H20" s="375"/>
      <c r="I20" s="375"/>
      <c r="J20" s="375"/>
      <c r="K20" s="356"/>
      <c r="M20" s="369" t="s">
        <v>144</v>
      </c>
      <c r="N20" s="370"/>
      <c r="O20" s="370"/>
      <c r="P20" s="371"/>
      <c r="Q20" s="13"/>
      <c r="R20" s="369" t="s">
        <v>99</v>
      </c>
      <c r="S20" s="383"/>
      <c r="T20" s="383"/>
      <c r="U20" s="38" t="s">
        <v>96</v>
      </c>
    </row>
    <row r="21" spans="1:42" ht="36.75" customHeight="1">
      <c r="A21" s="382"/>
      <c r="B21" s="13"/>
      <c r="C21" s="358" t="s">
        <v>245</v>
      </c>
      <c r="D21" s="359"/>
      <c r="E21" s="355" t="s">
        <v>251</v>
      </c>
      <c r="F21" s="356"/>
      <c r="G21" s="36"/>
      <c r="H21" s="118" t="s">
        <v>247</v>
      </c>
      <c r="I21" s="124"/>
      <c r="J21" s="355" t="s">
        <v>248</v>
      </c>
      <c r="K21" s="357"/>
      <c r="L21" s="18"/>
      <c r="M21" s="358" t="s">
        <v>249</v>
      </c>
      <c r="N21" s="359"/>
      <c r="O21" s="355" t="s">
        <v>248</v>
      </c>
      <c r="P21" s="357"/>
      <c r="Q21" s="18"/>
      <c r="R21" s="37" t="s">
        <v>250</v>
      </c>
      <c r="S21" s="355" t="s">
        <v>248</v>
      </c>
      <c r="T21" s="357"/>
      <c r="U21" s="39" t="s">
        <v>97</v>
      </c>
      <c r="AF21" s="128" t="s">
        <v>53</v>
      </c>
      <c r="AG21" s="128" t="s">
        <v>54</v>
      </c>
      <c r="AH21" s="128" t="s">
        <v>55</v>
      </c>
      <c r="AI21" s="128" t="s">
        <v>28</v>
      </c>
      <c r="AJ21" s="128" t="s">
        <v>56</v>
      </c>
      <c r="AK21" s="128" t="s">
        <v>67</v>
      </c>
      <c r="AL21" s="129" t="s">
        <v>29</v>
      </c>
      <c r="AM21" s="128" t="s">
        <v>30</v>
      </c>
      <c r="AN21" s="128" t="s">
        <v>147</v>
      </c>
      <c r="AO21" s="127" t="s">
        <v>252</v>
      </c>
      <c r="AP21" s="127" t="s">
        <v>254</v>
      </c>
    </row>
    <row r="22" spans="1:42" ht="15.75" customHeight="1">
      <c r="A22" s="19"/>
      <c r="B22" s="381" t="s">
        <v>20</v>
      </c>
      <c r="C22" s="376"/>
      <c r="D22" s="151">
        <v>1</v>
      </c>
      <c r="E22" s="378">
        <f>IF($AI22&lt;&gt;"O",INDEX(TANEXO,MATCH($AI22,TANEXO_TIPO,),MATCH("ACT_"&amp;$AG22,TANEXO_CAMPOS,)),"")</f>
      </c>
      <c r="F22" s="366"/>
      <c r="G22" s="20" t="s">
        <v>22</v>
      </c>
      <c r="H22" s="117">
        <f>IF($K22="",IF(ISBLANK($H23),IF($AI22&lt;&gt;"O",IF(UPPER($AM22)="2A",$AK22,""),""),""),IF(UPPER($K22)="2A",$AK22,""))</f>
      </c>
      <c r="I22" s="123">
        <f>IF(ISBLANK($H22),"",IF($H22="","",INDEX(TVALCAL,MATCH($AH22,TVALCAL_FILAS,),MATCH("Unidad",TVALCAL_CAMPOS,))))</f>
      </c>
      <c r="J22" s="378">
        <f>IF($AI22&lt;&gt;"O",INDEX(TANEXO,MATCH($AI22,TANEXO_TIPO,),MATCH("CAL_"&amp;$AG22,TANEXO_CAMPOS,)),"")</f>
      </c>
      <c r="K22" s="366"/>
      <c r="L22" s="20" t="s">
        <v>35</v>
      </c>
      <c r="M22" s="63">
        <f>IF($AN22="S",0,IF(ISBLANK($M23),IF($AI22&lt;&gt;"O",IF(UPPER($O22)="2A",$AJ22,IF(UPPER($P22)="2A",$AJ22,"")),""),""))</f>
      </c>
      <c r="N22" s="121">
        <f>IF(ISBLANK($M22),"",IF($M22=0,"",IF($M22="","","tCO2/TJ")))</f>
      </c>
      <c r="O22" s="360">
        <f>IF($AI22&lt;&gt;"O",INDEX(TANEXO,MATCH($AI22,TANEXO_TIPO,),MATCH("EMI_"&amp;$AG22,TANEXO_CAMPOS,)),"")</f>
      </c>
      <c r="P22" s="366"/>
      <c r="Q22" s="20" t="s">
        <v>36</v>
      </c>
      <c r="R22" s="64">
        <f>IF($T22=2,INDEX(TVALCAL,MATCH($AH22,TVALCAL_FILAS,),MATCH("FacOxi",TVALCAL_CAMPOS,)),IF($T22=3,"",IF($S22=1,1,"")))</f>
      </c>
      <c r="S22" s="378">
        <f>IF($AI22&lt;&gt;"O",INDEX(TANEXO,MATCH($AI22,TANEXO_TIPO,),MATCH("OXI_"&amp;$AG22,TANEXO_CAMPOS,)),"")</f>
      </c>
      <c r="T22" s="155">
        <v>1</v>
      </c>
      <c r="U22" s="387">
        <f>IF(ISERROR($AA25),0,$AA25)</f>
        <v>0</v>
      </c>
      <c r="AF22" s="130">
        <f>Inicio!$AA$1</f>
        <v>2</v>
      </c>
      <c r="AG22" s="129" t="str">
        <f>INDEX(TRANGO,MATCH($AF$8,TRANGO_FILAS,),MATCH("Tipo",TRANGO_CAMPOS,))</f>
        <v>B</v>
      </c>
      <c r="AH22" s="130">
        <v>1</v>
      </c>
      <c r="AI22" s="129" t="str">
        <f>INDEX(TVALCAL,MATCH($AH22,TVALCAL_FILAS,),MATCH("Tipo",TVALCAL_CAMPOS,))</f>
        <v>O</v>
      </c>
      <c r="AJ22" s="129">
        <f>IF($AN22="O","",INDEX(TVALCAL,MATCH($AH22,TVALCAL_FILAS,),MATCH("FacEmi",TVALCAL_CAMPOS,)))</f>
        <v>0</v>
      </c>
      <c r="AK22" s="129">
        <f>INDEX(TVALCAL,MATCH($AH22,TVALCAL_FILAS,),MATCH("V.C.N.",TVALCAL_CAMPOS,))</f>
        <v>0</v>
      </c>
      <c r="AL22" s="129" t="e">
        <f>INDEX(TANEXO,MATCH($AI22,TANEXO_TIPO,),MATCH("Id",TANEXO_CAMPOS,))</f>
        <v>#N/A</v>
      </c>
      <c r="AM22" s="129" t="e">
        <f>INDEX(TANEXO,MATCH($AI22,TANEXO_TIPO,),MATCH("CAL_"&amp;$AG22,TANEXO_CAMPOS,))</f>
        <v>#N/A</v>
      </c>
      <c r="AN22" s="129" t="str">
        <f>INDEX(TVALCAL,MATCH($AH22,TVALCAL_FILAS,),MATCH("EsBio",TVALCAL_CAMPOS,))</f>
        <v>N</v>
      </c>
      <c r="AO22" s="127">
        <f>INDEX(TVALCAL,MATCH($AH22,TVALCAL_FILAS,),MATCH("NoSelec",TVALCAL_CAMPOS,))</f>
        <v>0</v>
      </c>
      <c r="AP22" s="127">
        <f>INDEX(TVALCAL,MATCH($AH22,TVALCAL_FILAS,),MATCH("FacOxi",TVALCAL_CAMPOS,))</f>
        <v>0</v>
      </c>
    </row>
    <row r="23" spans="1:21" ht="15.75" customHeight="1">
      <c r="A23" s="379"/>
      <c r="B23" s="381"/>
      <c r="C23" s="377"/>
      <c r="D23" s="150"/>
      <c r="E23" s="361"/>
      <c r="F23" s="367"/>
      <c r="G23" s="20" t="s">
        <v>25</v>
      </c>
      <c r="H23" s="242"/>
      <c r="I23" s="122">
        <v>1</v>
      </c>
      <c r="J23" s="361"/>
      <c r="K23" s="367"/>
      <c r="L23" s="20" t="s">
        <v>37</v>
      </c>
      <c r="M23" s="240"/>
      <c r="N23" s="116">
        <v>1</v>
      </c>
      <c r="O23" s="361"/>
      <c r="P23" s="367"/>
      <c r="Q23" s="20" t="s">
        <v>38</v>
      </c>
      <c r="R23" s="239"/>
      <c r="S23" s="384"/>
      <c r="T23" s="162"/>
      <c r="U23" s="388"/>
    </row>
    <row r="24" spans="1:21" ht="15.75" customHeight="1">
      <c r="A24" s="380"/>
      <c r="B24" s="21" t="s">
        <v>21</v>
      </c>
      <c r="C24" s="238"/>
      <c r="D24" s="126">
        <f>IF(ISBLANK(C24),"","TJ")</f>
      </c>
      <c r="E24" s="362"/>
      <c r="F24" s="368"/>
      <c r="G24" s="13"/>
      <c r="H24" s="13"/>
      <c r="I24" s="13"/>
      <c r="J24" s="362"/>
      <c r="K24" s="368"/>
      <c r="L24" s="22"/>
      <c r="M24" s="22"/>
      <c r="N24" s="22"/>
      <c r="O24" s="362"/>
      <c r="P24" s="368"/>
      <c r="Q24" s="22"/>
      <c r="R24" s="22"/>
      <c r="S24" s="385"/>
      <c r="T24" s="162"/>
      <c r="U24" s="389"/>
    </row>
    <row r="25" spans="1:28" ht="12.75">
      <c r="A25" s="103"/>
      <c r="B25" s="103"/>
      <c r="C25" s="104"/>
      <c r="D25" s="104"/>
      <c r="E25" s="111"/>
      <c r="F25" s="103"/>
      <c r="G25" s="103"/>
      <c r="H25" s="265">
        <f>Y26</f>
      </c>
      <c r="I25" s="104"/>
      <c r="J25" s="111"/>
      <c r="K25" s="103"/>
      <c r="L25" s="103"/>
      <c r="M25" s="104"/>
      <c r="N25" s="104"/>
      <c r="O25" s="111"/>
      <c r="P25" s="103"/>
      <c r="Q25" s="103"/>
      <c r="R25" s="104"/>
      <c r="S25" s="72"/>
      <c r="T25" s="163"/>
      <c r="U25" s="104"/>
      <c r="V25" s="125"/>
      <c r="W25" s="127">
        <f>IF(ISBLANK($C22),$C24,IF(ISBLANK($C24),$C22,""))</f>
        <v>0</v>
      </c>
      <c r="X25" s="72">
        <f>IF(ISBLANK($H23),$H22,$H23)</f>
      </c>
      <c r="Y25" s="72">
        <f>IF(ISBLANK($M23),$M22,$M23)</f>
      </c>
      <c r="Z25" s="127">
        <f>IF(ISBLANK($R23),$R22,$R23)</f>
      </c>
      <c r="AA25" s="127" t="e">
        <f>$Z25*IF(ISBLANK($C24),$X25,1)*$Y25*$W25</f>
        <v>#VALUE!</v>
      </c>
      <c r="AB25" s="127">
        <f>IF(ISERROR($AA25),"",$AA25)</f>
      </c>
    </row>
    <row r="26" spans="1:25" ht="12.75">
      <c r="A26" s="13"/>
      <c r="B26" s="13"/>
      <c r="C26" s="265">
        <f>X26</f>
      </c>
      <c r="D26" s="13"/>
      <c r="E26" s="112"/>
      <c r="F26" s="13"/>
      <c r="G26" s="13"/>
      <c r="H26" s="13"/>
      <c r="I26" s="13"/>
      <c r="J26" s="112"/>
      <c r="K26" s="265">
        <f>W26</f>
      </c>
      <c r="L26" s="13"/>
      <c r="M26" s="13"/>
      <c r="N26" s="13"/>
      <c r="O26" s="112"/>
      <c r="P26" s="13"/>
      <c r="Q26" s="13"/>
      <c r="R26" s="13"/>
      <c r="W26" s="12">
        <f>IF($AO22="2b",IF(UPPER(K$22)="2B","No se permite 2b",""),"")</f>
      </c>
      <c r="X26" s="12">
        <f>IF($AO22="2b",IF($C24&lt;&gt;"","No se permite introducir valor",""),"")</f>
      </c>
      <c r="Y26" s="12">
        <f>IF(AND(D22=3,I23&lt;&gt;3),IF(AH22=2,"Las unidades de V.C.N deben ser TJ/t (Valor inventario 0.04824TJ/t)","Las unidades de V.C.N deben ser TJ/t"),IF(AND(D22=2,I23&lt;&gt;2),"Las unidades de V.C.N deben ser TJ/m3",""))</f>
      </c>
    </row>
    <row r="27" spans="1:21" ht="14.25" customHeight="1">
      <c r="A27" s="382" t="s">
        <v>61</v>
      </c>
      <c r="B27" s="13"/>
      <c r="C27" s="369" t="s">
        <v>33</v>
      </c>
      <c r="D27" s="375"/>
      <c r="E27" s="375"/>
      <c r="F27" s="375"/>
      <c r="G27" s="375"/>
      <c r="H27" s="375"/>
      <c r="I27" s="375"/>
      <c r="J27" s="375"/>
      <c r="K27" s="356"/>
      <c r="M27" s="369" t="s">
        <v>144</v>
      </c>
      <c r="N27" s="370"/>
      <c r="O27" s="370"/>
      <c r="P27" s="371"/>
      <c r="Q27" s="13"/>
      <c r="R27" s="369" t="s">
        <v>99</v>
      </c>
      <c r="S27" s="383"/>
      <c r="T27" s="383"/>
      <c r="U27" s="38" t="s">
        <v>96</v>
      </c>
    </row>
    <row r="28" spans="1:42" ht="36.75" customHeight="1">
      <c r="A28" s="382"/>
      <c r="B28" s="13"/>
      <c r="C28" s="358" t="s">
        <v>245</v>
      </c>
      <c r="D28" s="359"/>
      <c r="E28" s="355" t="s">
        <v>251</v>
      </c>
      <c r="F28" s="356"/>
      <c r="G28" s="36"/>
      <c r="H28" s="118" t="s">
        <v>247</v>
      </c>
      <c r="I28" s="124"/>
      <c r="J28" s="355" t="s">
        <v>248</v>
      </c>
      <c r="K28" s="357"/>
      <c r="L28" s="18"/>
      <c r="M28" s="358" t="s">
        <v>249</v>
      </c>
      <c r="N28" s="359"/>
      <c r="O28" s="355" t="s">
        <v>248</v>
      </c>
      <c r="P28" s="357"/>
      <c r="Q28" s="18"/>
      <c r="R28" s="37" t="s">
        <v>250</v>
      </c>
      <c r="S28" s="355" t="s">
        <v>248</v>
      </c>
      <c r="T28" s="357"/>
      <c r="U28" s="39" t="s">
        <v>97</v>
      </c>
      <c r="AF28" s="128" t="s">
        <v>53</v>
      </c>
      <c r="AG28" s="128" t="s">
        <v>54</v>
      </c>
      <c r="AH28" s="128" t="s">
        <v>55</v>
      </c>
      <c r="AI28" s="128" t="s">
        <v>28</v>
      </c>
      <c r="AJ28" s="128" t="s">
        <v>56</v>
      </c>
      <c r="AK28" s="128" t="s">
        <v>67</v>
      </c>
      <c r="AL28" s="129" t="s">
        <v>29</v>
      </c>
      <c r="AM28" s="128" t="s">
        <v>30</v>
      </c>
      <c r="AN28" s="128" t="s">
        <v>147</v>
      </c>
      <c r="AO28" s="127" t="s">
        <v>252</v>
      </c>
      <c r="AP28" s="127" t="s">
        <v>254</v>
      </c>
    </row>
    <row r="29" spans="1:42" ht="15.75" customHeight="1">
      <c r="A29" s="19"/>
      <c r="B29" s="381" t="s">
        <v>20</v>
      </c>
      <c r="C29" s="376"/>
      <c r="D29" s="151">
        <v>1</v>
      </c>
      <c r="E29" s="378">
        <f>IF($AI29&lt;&gt;"O",INDEX(TANEXO,MATCH($AI29,TANEXO_TIPO,),MATCH("ACT_"&amp;$AG29,TANEXO_CAMPOS,)),"")</f>
      </c>
      <c r="F29" s="366"/>
      <c r="G29" s="20" t="s">
        <v>22</v>
      </c>
      <c r="H29" s="117">
        <f>IF($K29="",IF(ISBLANK($H30),IF($AI29&lt;&gt;"O",IF(UPPER($AM29)="2A",$AK29,""),""),""),IF(UPPER($K29)="2A",$AK29,""))</f>
      </c>
      <c r="I29" s="123">
        <f>IF(ISBLANK($H29),"",IF($H29="","",INDEX(TVALCAL,MATCH($AH29,TVALCAL_FILAS,),MATCH("Unidad",TVALCAL_CAMPOS,))))</f>
      </c>
      <c r="J29" s="378">
        <f>IF($AI29&lt;&gt;"O",INDEX(TANEXO,MATCH($AI29,TANEXO_TIPO,),MATCH("CAL_"&amp;$AG29,TANEXO_CAMPOS,)),"")</f>
      </c>
      <c r="K29" s="366"/>
      <c r="L29" s="20" t="s">
        <v>35</v>
      </c>
      <c r="M29" s="63">
        <f>IF($AN29="S",0,IF(ISBLANK($M30),IF($AI29&lt;&gt;"O",IF(UPPER($O29)="2A",$AJ29,IF(UPPER($P29)="2A",$AJ29,"")),""),""))</f>
      </c>
      <c r="N29" s="121">
        <f>IF(ISBLANK($M29),"",IF($M29=0,"",IF($M29="","","tCO2/TJ")))</f>
      </c>
      <c r="O29" s="360">
        <f>IF($AI29&lt;&gt;"O",INDEX(TANEXO,MATCH($AI29,TANEXO_TIPO,),MATCH("EMI_"&amp;$AG29,TANEXO_CAMPOS,)),"")</f>
      </c>
      <c r="P29" s="366"/>
      <c r="Q29" s="20" t="s">
        <v>36</v>
      </c>
      <c r="R29" s="64">
        <f>IF($T29=2,INDEX(TVALCAL,MATCH($AH29,TVALCAL_FILAS,),MATCH("FacOxi",TVALCAL_CAMPOS,)),IF($T29=3,"",IF($S29=1,1,"")))</f>
      </c>
      <c r="S29" s="378">
        <f>IF($AI29&lt;&gt;"O",INDEX(TANEXO,MATCH($AI29,TANEXO_TIPO,),MATCH("OXI_"&amp;$AG29,TANEXO_CAMPOS,)),"")</f>
      </c>
      <c r="T29" s="155">
        <v>1</v>
      </c>
      <c r="U29" s="387">
        <f>IF(ISERROR($AA32),0,$AA32)</f>
        <v>0</v>
      </c>
      <c r="AF29" s="130">
        <f>Inicio!$AA$1</f>
        <v>2</v>
      </c>
      <c r="AG29" s="129" t="str">
        <f>INDEX(TRANGO,MATCH($AF$8,TRANGO_FILAS,),MATCH("Tipo",TRANGO_CAMPOS,))</f>
        <v>B</v>
      </c>
      <c r="AH29" s="130">
        <v>1</v>
      </c>
      <c r="AI29" s="129" t="str">
        <f>INDEX(TVALCAL,MATCH($AH29,TVALCAL_FILAS,),MATCH("Tipo",TVALCAL_CAMPOS,))</f>
        <v>O</v>
      </c>
      <c r="AJ29" s="129">
        <f>IF($AN29="O","",INDEX(TVALCAL,MATCH($AH29,TVALCAL_FILAS,),MATCH("FacEmi",TVALCAL_CAMPOS,)))</f>
        <v>0</v>
      </c>
      <c r="AK29" s="129">
        <f>INDEX(TVALCAL,MATCH($AH29,TVALCAL_FILAS,),MATCH("V.C.N.",TVALCAL_CAMPOS,))</f>
        <v>0</v>
      </c>
      <c r="AL29" s="129" t="e">
        <f>INDEX(TANEXO,MATCH($AI29,TANEXO_TIPO,),MATCH("Id",TANEXO_CAMPOS,))</f>
        <v>#N/A</v>
      </c>
      <c r="AM29" s="129" t="e">
        <f>INDEX(TANEXO,MATCH($AI29,TANEXO_TIPO,),MATCH("CAL_"&amp;$AG29,TANEXO_CAMPOS,))</f>
        <v>#N/A</v>
      </c>
      <c r="AN29" s="129" t="str">
        <f>INDEX(TVALCAL,MATCH($AH29,TVALCAL_FILAS,),MATCH("EsBio",TVALCAL_CAMPOS,))</f>
        <v>N</v>
      </c>
      <c r="AO29" s="127">
        <f>INDEX(TVALCAL,MATCH($AH29,TVALCAL_FILAS,),MATCH("NoSelec",TVALCAL_CAMPOS,))</f>
        <v>0</v>
      </c>
      <c r="AP29" s="127">
        <f>INDEX(TVALCAL,MATCH($AH29,TVALCAL_FILAS,),MATCH("NoSelec",TVALCAL_CAMPOS,))</f>
        <v>0</v>
      </c>
    </row>
    <row r="30" spans="1:21" ht="15.75" customHeight="1">
      <c r="A30" s="379"/>
      <c r="B30" s="381"/>
      <c r="C30" s="377"/>
      <c r="D30" s="150"/>
      <c r="E30" s="361"/>
      <c r="F30" s="367"/>
      <c r="G30" s="20" t="s">
        <v>25</v>
      </c>
      <c r="H30" s="242"/>
      <c r="I30" s="122">
        <v>1</v>
      </c>
      <c r="J30" s="361"/>
      <c r="K30" s="367"/>
      <c r="L30" s="20" t="s">
        <v>37</v>
      </c>
      <c r="M30" s="240"/>
      <c r="N30" s="116">
        <v>1</v>
      </c>
      <c r="O30" s="361"/>
      <c r="P30" s="367"/>
      <c r="Q30" s="20" t="s">
        <v>38</v>
      </c>
      <c r="R30" s="239"/>
      <c r="S30" s="384"/>
      <c r="T30" s="162"/>
      <c r="U30" s="388"/>
    </row>
    <row r="31" spans="1:21" ht="15.75" customHeight="1">
      <c r="A31" s="380"/>
      <c r="B31" s="21" t="s">
        <v>21</v>
      </c>
      <c r="C31" s="238"/>
      <c r="D31" s="126">
        <f>IF(ISBLANK(C31),"","TJ")</f>
      </c>
      <c r="E31" s="362"/>
      <c r="F31" s="368"/>
      <c r="G31" s="13"/>
      <c r="H31" s="13"/>
      <c r="I31" s="13"/>
      <c r="J31" s="362"/>
      <c r="K31" s="368"/>
      <c r="L31" s="22"/>
      <c r="M31" s="22"/>
      <c r="N31" s="22"/>
      <c r="O31" s="362"/>
      <c r="P31" s="368"/>
      <c r="Q31" s="22"/>
      <c r="R31" s="22"/>
      <c r="S31" s="385"/>
      <c r="T31" s="162"/>
      <c r="U31" s="389"/>
    </row>
    <row r="32" spans="1:28" ht="12.75">
      <c r="A32" s="103"/>
      <c r="B32" s="103"/>
      <c r="C32" s="104"/>
      <c r="D32" s="104"/>
      <c r="E32" s="111"/>
      <c r="F32" s="103"/>
      <c r="G32" s="103"/>
      <c r="H32" s="265">
        <f>Y33</f>
      </c>
      <c r="I32" s="104"/>
      <c r="J32" s="111"/>
      <c r="K32" s="103"/>
      <c r="L32" s="103"/>
      <c r="M32" s="104"/>
      <c r="N32" s="104"/>
      <c r="O32" s="111"/>
      <c r="P32" s="103"/>
      <c r="Q32" s="103"/>
      <c r="R32" s="104"/>
      <c r="S32" s="72"/>
      <c r="T32" s="163"/>
      <c r="U32" s="104"/>
      <c r="V32" s="125"/>
      <c r="W32" s="127">
        <f>IF(ISBLANK($C29),$C31,IF(ISBLANK($C31),$C29,""))</f>
        <v>0</v>
      </c>
      <c r="X32" s="72">
        <f>IF(ISBLANK($H30),$H29,$H30)</f>
      </c>
      <c r="Y32" s="72">
        <f>IF(ISBLANK($M30),$M29,$M30)</f>
      </c>
      <c r="Z32" s="127">
        <f>IF(ISBLANK($R30),$R29,$R30)</f>
      </c>
      <c r="AA32" s="127" t="e">
        <f>$Z32*IF(ISBLANK($C31),$X32,1)*$Y32*$W32</f>
        <v>#VALUE!</v>
      </c>
      <c r="AB32" s="127">
        <f>IF(ISERROR($AA32),"",$AA32)</f>
      </c>
    </row>
    <row r="33" spans="1:25" ht="12.75">
      <c r="A33" s="13"/>
      <c r="B33" s="13"/>
      <c r="C33" s="265">
        <f>X33</f>
      </c>
      <c r="D33" s="13"/>
      <c r="E33" s="112"/>
      <c r="F33" s="13"/>
      <c r="G33" s="13"/>
      <c r="H33" s="13"/>
      <c r="I33" s="13"/>
      <c r="J33" s="112"/>
      <c r="K33" s="265">
        <f>W33</f>
      </c>
      <c r="L33" s="13"/>
      <c r="M33" s="13"/>
      <c r="N33" s="13"/>
      <c r="O33" s="112"/>
      <c r="P33" s="13"/>
      <c r="Q33" s="13"/>
      <c r="R33" s="13"/>
      <c r="W33" s="12">
        <f>IF($AO29="2b",IF(UPPER(K$29)="2B","No se permite 2b",""),"")</f>
      </c>
      <c r="X33" s="12">
        <f>IF($AO29="2b",IF($C31&lt;&gt;"","No se permite introducir valor",""),"")</f>
      </c>
      <c r="Y33" s="12">
        <f>IF(AND(D29=3,I30&lt;&gt;3),IF(AH29=2,"Las unidades de V.C.N deben ser TJ/t (Valor inventario 0.04824TJ/t)","Las unidades de V.C.N deben ser TJ/t"),IF(AND(D29=2,I30&lt;&gt;2),"Las unidades de V.C.N deben ser TJ/m3",""))</f>
      </c>
    </row>
    <row r="34" spans="1:21" ht="14.25" customHeight="1">
      <c r="A34" s="382" t="s">
        <v>62</v>
      </c>
      <c r="B34" s="13"/>
      <c r="C34" s="369" t="s">
        <v>33</v>
      </c>
      <c r="D34" s="375"/>
      <c r="E34" s="375"/>
      <c r="F34" s="375"/>
      <c r="G34" s="375"/>
      <c r="H34" s="375"/>
      <c r="I34" s="375"/>
      <c r="J34" s="375"/>
      <c r="K34" s="356"/>
      <c r="M34" s="369" t="s">
        <v>144</v>
      </c>
      <c r="N34" s="370"/>
      <c r="O34" s="370"/>
      <c r="P34" s="371"/>
      <c r="Q34" s="13"/>
      <c r="R34" s="369" t="s">
        <v>99</v>
      </c>
      <c r="S34" s="383"/>
      <c r="T34" s="383"/>
      <c r="U34" s="38" t="s">
        <v>96</v>
      </c>
    </row>
    <row r="35" spans="1:42" ht="36.75" customHeight="1">
      <c r="A35" s="382"/>
      <c r="B35" s="13"/>
      <c r="C35" s="358" t="s">
        <v>245</v>
      </c>
      <c r="D35" s="359"/>
      <c r="E35" s="355" t="s">
        <v>251</v>
      </c>
      <c r="F35" s="356"/>
      <c r="G35" s="36"/>
      <c r="H35" s="118" t="s">
        <v>247</v>
      </c>
      <c r="I35" s="124"/>
      <c r="J35" s="355" t="s">
        <v>248</v>
      </c>
      <c r="K35" s="357"/>
      <c r="L35" s="18"/>
      <c r="M35" s="358" t="s">
        <v>249</v>
      </c>
      <c r="N35" s="359"/>
      <c r="O35" s="355" t="s">
        <v>248</v>
      </c>
      <c r="P35" s="357"/>
      <c r="Q35" s="18"/>
      <c r="R35" s="37" t="s">
        <v>250</v>
      </c>
      <c r="S35" s="355" t="s">
        <v>248</v>
      </c>
      <c r="T35" s="357"/>
      <c r="U35" s="39" t="s">
        <v>97</v>
      </c>
      <c r="AF35" s="128" t="s">
        <v>53</v>
      </c>
      <c r="AG35" s="128" t="s">
        <v>54</v>
      </c>
      <c r="AH35" s="128" t="s">
        <v>55</v>
      </c>
      <c r="AI35" s="128" t="s">
        <v>28</v>
      </c>
      <c r="AJ35" s="128" t="s">
        <v>56</v>
      </c>
      <c r="AK35" s="128" t="s">
        <v>67</v>
      </c>
      <c r="AL35" s="129" t="s">
        <v>29</v>
      </c>
      <c r="AM35" s="128" t="s">
        <v>30</v>
      </c>
      <c r="AN35" s="128" t="s">
        <v>147</v>
      </c>
      <c r="AO35" s="127" t="s">
        <v>252</v>
      </c>
      <c r="AP35" s="127" t="s">
        <v>254</v>
      </c>
    </row>
    <row r="36" spans="1:42" ht="15.75" customHeight="1">
      <c r="A36" s="19"/>
      <c r="B36" s="381" t="s">
        <v>20</v>
      </c>
      <c r="C36" s="376"/>
      <c r="D36" s="151">
        <v>1</v>
      </c>
      <c r="E36" s="378">
        <f>IF($AI36&lt;&gt;"O",INDEX(TANEXO,MATCH($AI36,TANEXO_TIPO,),MATCH("ACT_"&amp;$AG36,TANEXO_CAMPOS,)),"")</f>
      </c>
      <c r="F36" s="366"/>
      <c r="G36" s="20" t="s">
        <v>22</v>
      </c>
      <c r="H36" s="117">
        <f>IF($K36="",IF(ISBLANK($H37),IF($AI36&lt;&gt;"O",IF(UPPER($AM36)="2A",$AK36,""),""),""),IF(UPPER($K36)="2A",$AK36,""))</f>
      </c>
      <c r="I36" s="123">
        <f>IF(ISBLANK($H36),"",IF($H36="","",INDEX(TVALCAL,MATCH($AH36,TVALCAL_FILAS,),MATCH("Unidad",TVALCAL_CAMPOS,))))</f>
      </c>
      <c r="J36" s="378">
        <f>IF($AI36&lt;&gt;"O",INDEX(TANEXO,MATCH($AI36,TANEXO_TIPO,),MATCH("CAL_"&amp;$AG36,TANEXO_CAMPOS,)),"")</f>
      </c>
      <c r="K36" s="366"/>
      <c r="L36" s="20" t="s">
        <v>35</v>
      </c>
      <c r="M36" s="63">
        <f>IF($AN36="S",0,IF(ISBLANK($M37),IF($AI36&lt;&gt;"O",IF(UPPER($O36)="2A",$AJ36,IF(UPPER($P36)="2A",$AJ36,"")),""),""))</f>
      </c>
      <c r="N36" s="121">
        <f>IF(ISBLANK($M36),"",IF($M36=0,"",IF($M36="","","tCO2/TJ")))</f>
      </c>
      <c r="O36" s="360">
        <f>IF($AI36&lt;&gt;"O",INDEX(TANEXO,MATCH($AI36,TANEXO_TIPO,),MATCH("EMI_"&amp;$AG36,TANEXO_CAMPOS,)),"")</f>
      </c>
      <c r="P36" s="366"/>
      <c r="Q36" s="20" t="s">
        <v>36</v>
      </c>
      <c r="R36" s="64">
        <f>IF($T36=2,INDEX(TVALCAL,MATCH($AH36,TVALCAL_FILAS,),MATCH("FacOxi",TVALCAL_CAMPOS,)),IF($T36=3,"",IF($S36=1,1,"")))</f>
      </c>
      <c r="S36" s="378">
        <f>IF($AI36&lt;&gt;"O",INDEX(TANEXO,MATCH($AI36,TANEXO_TIPO,),MATCH("OXI_"&amp;$AG36,TANEXO_CAMPOS,)),"")</f>
      </c>
      <c r="T36" s="155"/>
      <c r="U36" s="387">
        <f>IF(ISERROR($AA39),0,$AA39)</f>
        <v>0</v>
      </c>
      <c r="AF36" s="130">
        <f>Inicio!$AA$1</f>
        <v>2</v>
      </c>
      <c r="AG36" s="129" t="str">
        <f>INDEX(TRANGO,MATCH($AF$8,TRANGO_FILAS,),MATCH("Tipo",TRANGO_CAMPOS,))</f>
        <v>B</v>
      </c>
      <c r="AH36" s="130">
        <v>1</v>
      </c>
      <c r="AI36" s="129" t="str">
        <f>INDEX(TVALCAL,MATCH($AH36,TVALCAL_FILAS,),MATCH("Tipo",TVALCAL_CAMPOS,))</f>
        <v>O</v>
      </c>
      <c r="AJ36" s="129">
        <f>IF($AN36="O","",INDEX(TVALCAL,MATCH($AH36,TVALCAL_FILAS,),MATCH("FacEmi",TVALCAL_CAMPOS,)))</f>
        <v>0</v>
      </c>
      <c r="AK36" s="129">
        <f>INDEX(TVALCAL,MATCH($AH36,TVALCAL_FILAS,),MATCH("V.C.N.",TVALCAL_CAMPOS,))</f>
        <v>0</v>
      </c>
      <c r="AL36" s="129" t="e">
        <f>INDEX(TANEXO,MATCH($AI36,TANEXO_TIPO,),MATCH("Id",TANEXO_CAMPOS,))</f>
        <v>#N/A</v>
      </c>
      <c r="AM36" s="129" t="e">
        <f>INDEX(TANEXO,MATCH($AI36,TANEXO_TIPO,),MATCH("CAL_"&amp;$AG36,TANEXO_CAMPOS,))</f>
        <v>#N/A</v>
      </c>
      <c r="AN36" s="129" t="str">
        <f>INDEX(TVALCAL,MATCH($AH36,TVALCAL_FILAS,),MATCH("EsBio",TVALCAL_CAMPOS,))</f>
        <v>N</v>
      </c>
      <c r="AO36" s="127">
        <f>INDEX(TVALCAL,MATCH($AH36,TVALCAL_FILAS,),MATCH("NoSelec",TVALCAL_CAMPOS,))</f>
        <v>0</v>
      </c>
      <c r="AP36" s="127">
        <f>INDEX(TVALCAL,MATCH($AH36,TVALCAL_FILAS,),MATCH("FacOxi",TVALCAL_CAMPOS,))</f>
        <v>0</v>
      </c>
    </row>
    <row r="37" spans="1:21" ht="15.75" customHeight="1">
      <c r="A37" s="379"/>
      <c r="B37" s="381"/>
      <c r="C37" s="377"/>
      <c r="D37" s="150"/>
      <c r="E37" s="361"/>
      <c r="F37" s="367"/>
      <c r="G37" s="20" t="s">
        <v>25</v>
      </c>
      <c r="H37" s="242"/>
      <c r="I37" s="122">
        <v>1</v>
      </c>
      <c r="J37" s="361"/>
      <c r="K37" s="367"/>
      <c r="L37" s="20" t="s">
        <v>37</v>
      </c>
      <c r="M37" s="240"/>
      <c r="N37" s="116">
        <v>1</v>
      </c>
      <c r="O37" s="361"/>
      <c r="P37" s="367"/>
      <c r="Q37" s="20" t="s">
        <v>38</v>
      </c>
      <c r="R37" s="239"/>
      <c r="S37" s="384"/>
      <c r="T37" s="162"/>
      <c r="U37" s="388"/>
    </row>
    <row r="38" spans="1:21" ht="15.75" customHeight="1">
      <c r="A38" s="380"/>
      <c r="B38" s="21" t="s">
        <v>21</v>
      </c>
      <c r="C38" s="238"/>
      <c r="D38" s="126">
        <f>IF(ISBLANK(C38),"","TJ")</f>
      </c>
      <c r="E38" s="362"/>
      <c r="F38" s="368"/>
      <c r="G38" s="13"/>
      <c r="H38" s="13"/>
      <c r="I38" s="13"/>
      <c r="J38" s="362"/>
      <c r="K38" s="368"/>
      <c r="L38" s="22"/>
      <c r="M38" s="22"/>
      <c r="N38" s="22"/>
      <c r="O38" s="362"/>
      <c r="P38" s="368"/>
      <c r="Q38" s="22"/>
      <c r="R38" s="22"/>
      <c r="S38" s="385"/>
      <c r="T38" s="162"/>
      <c r="U38" s="389"/>
    </row>
    <row r="39" spans="1:28" ht="12.75">
      <c r="A39" s="103"/>
      <c r="B39" s="103"/>
      <c r="C39" s="104"/>
      <c r="D39" s="104"/>
      <c r="E39" s="111"/>
      <c r="F39" s="103"/>
      <c r="G39" s="103"/>
      <c r="H39" s="265">
        <f>Y40</f>
      </c>
      <c r="I39" s="104"/>
      <c r="J39" s="111"/>
      <c r="K39" s="103"/>
      <c r="L39" s="103"/>
      <c r="M39" s="104"/>
      <c r="N39" s="104"/>
      <c r="O39" s="111"/>
      <c r="P39" s="103"/>
      <c r="Q39" s="103"/>
      <c r="R39" s="104"/>
      <c r="S39" s="72"/>
      <c r="T39" s="163"/>
      <c r="U39" s="104"/>
      <c r="V39" s="125"/>
      <c r="W39" s="127">
        <f>IF(ISBLANK($C36),$C38,IF(ISBLANK($C38),$C36,""))</f>
        <v>0</v>
      </c>
      <c r="X39" s="72">
        <f>IF(ISBLANK($H37),$H36,$H37)</f>
      </c>
      <c r="Y39" s="72">
        <f>IF(ISBLANK($M37),$M36,$M37)</f>
      </c>
      <c r="Z39" s="127">
        <f>IF(ISBLANK($R37),$R36,$R37)</f>
      </c>
      <c r="AA39" s="127" t="e">
        <f>$Z39*IF(ISBLANK($C38),$X39,1)*$Y39*$W39</f>
        <v>#VALUE!</v>
      </c>
      <c r="AB39" s="127">
        <f>IF(ISERROR($AA39),"",$AA39)</f>
      </c>
    </row>
    <row r="40" spans="1:25" ht="12.75">
      <c r="A40" s="13"/>
      <c r="B40" s="13"/>
      <c r="C40" s="265">
        <f>X40</f>
      </c>
      <c r="D40" s="13"/>
      <c r="E40" s="112"/>
      <c r="F40" s="13"/>
      <c r="G40" s="13"/>
      <c r="H40" s="13"/>
      <c r="I40" s="13"/>
      <c r="J40" s="112"/>
      <c r="K40" s="265">
        <f>W40</f>
      </c>
      <c r="L40" s="13"/>
      <c r="M40" s="13"/>
      <c r="N40" s="13"/>
      <c r="O40" s="112"/>
      <c r="P40" s="13"/>
      <c r="Q40" s="13"/>
      <c r="R40" s="13"/>
      <c r="W40" s="12">
        <f>IF($AO36="2b",IF(UPPER(K$36)="2B","No se permite 2b",""),"")</f>
      </c>
      <c r="X40" s="12">
        <f>IF($AO36="2b",IF($C38&lt;&gt;"","No se permite introducir valor",""),"")</f>
      </c>
      <c r="Y40" s="12">
        <f>IF(AND(D36=3,I37&lt;&gt;3),IF(AH36=2,"Las unidades de V.C.N deben ser TJ/t (Valor inventario 0.04824 TJ/t)","Las unidades de V.C.N deben ser TJ/t"),IF(AND(D36=2,I37&lt;&gt;2),"Las unidades de V.C.N deben ser TJ/m3",""))</f>
      </c>
    </row>
    <row r="41" spans="1:21" ht="12.75">
      <c r="A41" s="382" t="s">
        <v>362</v>
      </c>
      <c r="B41" s="13"/>
      <c r="C41" s="369" t="s">
        <v>33</v>
      </c>
      <c r="D41" s="375"/>
      <c r="E41" s="375"/>
      <c r="F41" s="375"/>
      <c r="G41" s="375"/>
      <c r="H41" s="375"/>
      <c r="I41" s="375"/>
      <c r="J41" s="375"/>
      <c r="K41" s="356"/>
      <c r="M41" s="369" t="s">
        <v>144</v>
      </c>
      <c r="N41" s="370"/>
      <c r="O41" s="370"/>
      <c r="P41" s="371"/>
      <c r="Q41" s="13"/>
      <c r="R41" s="369" t="s">
        <v>99</v>
      </c>
      <c r="S41" s="383"/>
      <c r="T41" s="383"/>
      <c r="U41" s="38" t="s">
        <v>96</v>
      </c>
    </row>
    <row r="42" spans="1:42" ht="40.5">
      <c r="A42" s="382"/>
      <c r="B42" s="13"/>
      <c r="C42" s="358" t="s">
        <v>245</v>
      </c>
      <c r="D42" s="359"/>
      <c r="E42" s="355" t="s">
        <v>251</v>
      </c>
      <c r="F42" s="356"/>
      <c r="G42" s="36"/>
      <c r="H42" s="118" t="s">
        <v>247</v>
      </c>
      <c r="I42" s="124"/>
      <c r="J42" s="355" t="s">
        <v>248</v>
      </c>
      <c r="K42" s="357"/>
      <c r="L42" s="18"/>
      <c r="M42" s="358" t="s">
        <v>249</v>
      </c>
      <c r="N42" s="359"/>
      <c r="O42" s="355" t="s">
        <v>248</v>
      </c>
      <c r="P42" s="357"/>
      <c r="Q42" s="18"/>
      <c r="R42" s="37" t="s">
        <v>250</v>
      </c>
      <c r="S42" s="355" t="s">
        <v>248</v>
      </c>
      <c r="T42" s="357"/>
      <c r="U42" s="39" t="s">
        <v>97</v>
      </c>
      <c r="AF42" s="128" t="s">
        <v>53</v>
      </c>
      <c r="AG42" s="128" t="s">
        <v>54</v>
      </c>
      <c r="AH42" s="128" t="s">
        <v>55</v>
      </c>
      <c r="AI42" s="128" t="s">
        <v>28</v>
      </c>
      <c r="AJ42" s="128" t="s">
        <v>56</v>
      </c>
      <c r="AK42" s="128" t="s">
        <v>67</v>
      </c>
      <c r="AL42" s="129" t="s">
        <v>29</v>
      </c>
      <c r="AM42" s="128" t="s">
        <v>30</v>
      </c>
      <c r="AN42" s="128" t="s">
        <v>147</v>
      </c>
      <c r="AO42" s="127" t="s">
        <v>252</v>
      </c>
      <c r="AP42" s="127" t="s">
        <v>254</v>
      </c>
    </row>
    <row r="43" spans="1:42" ht="12.75">
      <c r="A43" s="19"/>
      <c r="B43" s="381" t="s">
        <v>20</v>
      </c>
      <c r="C43" s="376"/>
      <c r="D43" s="151">
        <v>1</v>
      </c>
      <c r="E43" s="378">
        <f>IF($AI43&lt;&gt;"O",INDEX(TANEXO,MATCH($AI43,TANEXO_TIPO,),MATCH("ACT_"&amp;$AG43,TANEXO_CAMPOS,)),"")</f>
      </c>
      <c r="F43" s="366"/>
      <c r="G43" s="20" t="s">
        <v>22</v>
      </c>
      <c r="H43" s="117">
        <f>IF($K43="",IF(ISBLANK($H44),IF($AI43&lt;&gt;"O",IF(UPPER($AM43)="2A",$AK43,""),""),""),IF(UPPER($K43)="2A",$AK43,""))</f>
      </c>
      <c r="I43" s="123">
        <f>IF(ISBLANK($H43),"",IF($H43="","",INDEX(TVALCAL,MATCH($AH43,TVALCAL_FILAS,),MATCH("Unidad",TVALCAL_CAMPOS,))))</f>
      </c>
      <c r="J43" s="378">
        <f>IF($AI43&lt;&gt;"O",INDEX(TANEXO,MATCH($AI43,TANEXO_TIPO,),MATCH("CAL_"&amp;$AG43,TANEXO_CAMPOS,)),"")</f>
      </c>
      <c r="K43" s="366"/>
      <c r="L43" s="20" t="s">
        <v>35</v>
      </c>
      <c r="M43" s="63">
        <f>IF($AN43="S",0,IF(ISBLANK($M44),IF($AI43&lt;&gt;"O",IF(UPPER($O43)="2A",$AJ43,IF(UPPER($P43)="2A",$AJ43,"")),""),""))</f>
      </c>
      <c r="N43" s="121">
        <f>IF(ISBLANK($M43),"",IF($M43=0,"",IF($M43="","","tCO2/TJ")))</f>
      </c>
      <c r="O43" s="360">
        <f>IF($AI43&lt;&gt;"O",INDEX(TANEXO,MATCH($AI43,TANEXO_TIPO,),MATCH("EMI_"&amp;$AG43,TANEXO_CAMPOS,)),"")</f>
      </c>
      <c r="P43" s="366"/>
      <c r="Q43" s="20" t="s">
        <v>36</v>
      </c>
      <c r="R43" s="64">
        <f>IF($T43=2,INDEX(TVALCAL,MATCH($AH43,TVALCAL_FILAS,),MATCH("FacOxi",TVALCAL_CAMPOS,)),IF($T43=3,"",IF($S43=1,1,"")))</f>
      </c>
      <c r="S43" s="378">
        <f>IF($AI43&lt;&gt;"O",INDEX(TANEXO,MATCH($AI43,TANEXO_TIPO,),MATCH("OXI_"&amp;$AG43,TANEXO_CAMPOS,)),"")</f>
      </c>
      <c r="T43" s="155"/>
      <c r="U43" s="387">
        <f>IF(ISERROR($AA46),0,$AA46)</f>
        <v>0</v>
      </c>
      <c r="AF43" s="130">
        <f>Inicio!$AA$1</f>
        <v>2</v>
      </c>
      <c r="AG43" s="129" t="str">
        <f>INDEX(TRANGO,MATCH($AF$8,TRANGO_FILAS,),MATCH("Tipo",TRANGO_CAMPOS,))</f>
        <v>B</v>
      </c>
      <c r="AH43" s="130">
        <v>1</v>
      </c>
      <c r="AI43" s="129" t="str">
        <f>INDEX(TVALCAL,MATCH($AH43,TVALCAL_FILAS,),MATCH("Tipo",TVALCAL_CAMPOS,))</f>
        <v>O</v>
      </c>
      <c r="AJ43" s="129">
        <f>IF($AN43="O","",INDEX(TVALCAL,MATCH($AH43,TVALCAL_FILAS,),MATCH("FacEmi",TVALCAL_CAMPOS,)))</f>
        <v>0</v>
      </c>
      <c r="AK43" s="129">
        <f>INDEX(TVALCAL,MATCH($AH43,TVALCAL_FILAS,),MATCH("V.C.N.",TVALCAL_CAMPOS,))</f>
        <v>0</v>
      </c>
      <c r="AL43" s="129" t="e">
        <f>INDEX(TANEXO,MATCH($AI43,TANEXO_TIPO,),MATCH("Id",TANEXO_CAMPOS,))</f>
        <v>#N/A</v>
      </c>
      <c r="AM43" s="129" t="e">
        <f>INDEX(TANEXO,MATCH($AI43,TANEXO_TIPO,),MATCH("CAL_"&amp;$AG43,TANEXO_CAMPOS,))</f>
        <v>#N/A</v>
      </c>
      <c r="AN43" s="129" t="str">
        <f>INDEX(TVALCAL,MATCH($AH43,TVALCAL_FILAS,),MATCH("EsBio",TVALCAL_CAMPOS,))</f>
        <v>N</v>
      </c>
      <c r="AO43" s="127">
        <f>INDEX(TVALCAL,MATCH($AH43,TVALCAL_FILAS,),MATCH("NoSelec",TVALCAL_CAMPOS,))</f>
        <v>0</v>
      </c>
      <c r="AP43" s="127">
        <f>INDEX(TVALCAL,MATCH($AH43,TVALCAL_FILAS,),MATCH("FacOxi",TVALCAL_CAMPOS,))</f>
        <v>0</v>
      </c>
    </row>
    <row r="44" spans="1:21" ht="15.75" customHeight="1">
      <c r="A44" s="379"/>
      <c r="B44" s="381"/>
      <c r="C44" s="377"/>
      <c r="D44" s="150"/>
      <c r="E44" s="361"/>
      <c r="F44" s="367"/>
      <c r="G44" s="20" t="s">
        <v>25</v>
      </c>
      <c r="H44" s="242"/>
      <c r="I44" s="122">
        <v>1</v>
      </c>
      <c r="J44" s="361"/>
      <c r="K44" s="367"/>
      <c r="L44" s="20" t="s">
        <v>37</v>
      </c>
      <c r="M44" s="240"/>
      <c r="N44" s="116">
        <v>1</v>
      </c>
      <c r="O44" s="361"/>
      <c r="P44" s="367"/>
      <c r="Q44" s="20" t="s">
        <v>38</v>
      </c>
      <c r="R44" s="239"/>
      <c r="S44" s="384"/>
      <c r="T44" s="162"/>
      <c r="U44" s="388"/>
    </row>
    <row r="45" spans="1:21" ht="12.75">
      <c r="A45" s="380"/>
      <c r="B45" s="21" t="s">
        <v>21</v>
      </c>
      <c r="C45" s="238"/>
      <c r="D45" s="126">
        <f>IF(ISBLANK(C45),"","TJ")</f>
      </c>
      <c r="E45" s="362"/>
      <c r="F45" s="368"/>
      <c r="G45" s="13"/>
      <c r="H45" s="13"/>
      <c r="I45" s="13"/>
      <c r="J45" s="362"/>
      <c r="K45" s="368"/>
      <c r="L45" s="22"/>
      <c r="M45" s="22"/>
      <c r="N45" s="22"/>
      <c r="O45" s="362"/>
      <c r="P45" s="368"/>
      <c r="Q45" s="22"/>
      <c r="R45" s="22"/>
      <c r="S45" s="385"/>
      <c r="T45" s="162"/>
      <c r="U45" s="389"/>
    </row>
    <row r="46" spans="1:28" ht="12.75">
      <c r="A46" s="103"/>
      <c r="B46" s="103"/>
      <c r="C46" s="104"/>
      <c r="D46" s="104"/>
      <c r="E46" s="111"/>
      <c r="F46" s="103"/>
      <c r="G46" s="103"/>
      <c r="H46" s="310">
        <f>Y47</f>
      </c>
      <c r="I46" s="104"/>
      <c r="J46" s="111"/>
      <c r="K46" s="103"/>
      <c r="L46" s="103"/>
      <c r="M46" s="104"/>
      <c r="N46" s="104"/>
      <c r="O46" s="111"/>
      <c r="P46" s="103"/>
      <c r="Q46" s="103"/>
      <c r="R46" s="104"/>
      <c r="S46" s="72"/>
      <c r="T46" s="163"/>
      <c r="U46" s="104"/>
      <c r="V46" s="125"/>
      <c r="W46" s="127">
        <f>IF(ISBLANK($C43),$C45,IF(ISBLANK($C45),$C43,""))</f>
        <v>0</v>
      </c>
      <c r="X46" s="72">
        <f>IF(ISBLANK($H44),$H43,$H44)</f>
      </c>
      <c r="Y46" s="72">
        <f>IF(ISBLANK($M44),$M43,$M44)</f>
      </c>
      <c r="Z46" s="127">
        <f>IF(ISBLANK($R44),$R43,$R44)</f>
      </c>
      <c r="AA46" s="127" t="e">
        <f>$Z46*IF(ISBLANK($C45),$X46,1)*$Y46*$W46</f>
        <v>#VALUE!</v>
      </c>
      <c r="AB46" s="127">
        <f>IF(ISERROR($AA46),"",$AA46)</f>
      </c>
    </row>
    <row r="47" spans="1:25" ht="12.75">
      <c r="A47" s="13"/>
      <c r="B47" s="13"/>
      <c r="C47" s="265"/>
      <c r="D47" s="13"/>
      <c r="E47" s="112"/>
      <c r="F47" s="13"/>
      <c r="G47" s="13"/>
      <c r="H47" s="13"/>
      <c r="I47" s="13"/>
      <c r="J47" s="112"/>
      <c r="K47" s="265"/>
      <c r="L47" s="13"/>
      <c r="M47" s="13"/>
      <c r="N47" s="13"/>
      <c r="O47" s="112"/>
      <c r="P47" s="13"/>
      <c r="Q47" s="13"/>
      <c r="R47" s="13"/>
      <c r="Y47" s="12">
        <f>IF(AND(D43=3,I44&lt;&gt;3),IF(AH43=2,"Las unidades de V.C.N deben ser TJ/t (Valor inventario 0.04824 TJ/t)","Las unidades de V.C.N deben ser TJ/t"),IF(AND(D43=2,I44&lt;&gt;2),"Las unidades de V.C.N deben ser TJ/m3",""))</f>
      </c>
    </row>
    <row r="48" spans="1:21" ht="12.75">
      <c r="A48" s="395"/>
      <c r="B48" s="13"/>
      <c r="C48" s="369" t="s">
        <v>33</v>
      </c>
      <c r="D48" s="375"/>
      <c r="E48" s="375"/>
      <c r="F48" s="375"/>
      <c r="G48" s="375"/>
      <c r="H48" s="375"/>
      <c r="I48" s="375"/>
      <c r="J48" s="375"/>
      <c r="K48" s="356"/>
      <c r="M48" s="369" t="s">
        <v>144</v>
      </c>
      <c r="N48" s="370"/>
      <c r="O48" s="370"/>
      <c r="P48" s="371"/>
      <c r="Q48" s="13"/>
      <c r="R48" s="369" t="s">
        <v>99</v>
      </c>
      <c r="S48" s="383"/>
      <c r="T48" s="383"/>
      <c r="U48" s="38" t="s">
        <v>96</v>
      </c>
    </row>
    <row r="49" spans="1:42" ht="40.5">
      <c r="A49" s="395"/>
      <c r="B49" s="13"/>
      <c r="C49" s="358" t="s">
        <v>245</v>
      </c>
      <c r="D49" s="359"/>
      <c r="E49" s="355" t="s">
        <v>251</v>
      </c>
      <c r="F49" s="356"/>
      <c r="G49" s="36"/>
      <c r="H49" s="118" t="s">
        <v>247</v>
      </c>
      <c r="I49" s="124"/>
      <c r="J49" s="355" t="s">
        <v>248</v>
      </c>
      <c r="K49" s="357"/>
      <c r="L49" s="18"/>
      <c r="M49" s="358" t="s">
        <v>249</v>
      </c>
      <c r="N49" s="359"/>
      <c r="O49" s="355" t="s">
        <v>248</v>
      </c>
      <c r="P49" s="357"/>
      <c r="Q49" s="18"/>
      <c r="R49" s="37" t="s">
        <v>250</v>
      </c>
      <c r="S49" s="355" t="s">
        <v>248</v>
      </c>
      <c r="T49" s="357"/>
      <c r="U49" s="39" t="s">
        <v>97</v>
      </c>
      <c r="AF49" s="128" t="s">
        <v>53</v>
      </c>
      <c r="AG49" s="128" t="s">
        <v>54</v>
      </c>
      <c r="AH49" s="128" t="s">
        <v>55</v>
      </c>
      <c r="AI49" s="128" t="s">
        <v>28</v>
      </c>
      <c r="AJ49" s="128" t="s">
        <v>56</v>
      </c>
      <c r="AK49" s="128" t="s">
        <v>67</v>
      </c>
      <c r="AL49" s="129" t="s">
        <v>29</v>
      </c>
      <c r="AM49" s="128" t="s">
        <v>30</v>
      </c>
      <c r="AN49" s="128" t="s">
        <v>147</v>
      </c>
      <c r="AO49" s="127" t="s">
        <v>252</v>
      </c>
      <c r="AP49" s="127" t="s">
        <v>254</v>
      </c>
    </row>
    <row r="50" spans="1:42" ht="12.75">
      <c r="A50" s="320"/>
      <c r="B50" s="381" t="s">
        <v>20</v>
      </c>
      <c r="C50" s="376"/>
      <c r="D50" s="151">
        <v>1</v>
      </c>
      <c r="E50" s="378">
        <f>IF($AI50&lt;&gt;"O",INDEX(TANEXO,MATCH($AI50,TANEXO_TIPO,),MATCH("ACT_"&amp;$AG50,TANEXO_CAMPOS,)),"")</f>
      </c>
      <c r="F50" s="366"/>
      <c r="G50" s="20" t="s">
        <v>22</v>
      </c>
      <c r="H50" s="117">
        <f>IF($K50="",IF(ISBLANK($H51),IF($AI50&lt;&gt;"O",IF(UPPER($AM50)="2A",$AK50,""),""),""),IF(UPPER($K50)="2A",$AK50,""))</f>
      </c>
      <c r="I50" s="123">
        <f>IF(ISBLANK($H50),"",IF($H50="","",INDEX(TVALCAL,MATCH($AH50,TVALCAL_FILAS,),MATCH("Unidad",TVALCAL_CAMPOS,))))</f>
      </c>
      <c r="J50" s="378">
        <f>IF($AI50&lt;&gt;"O",INDEX(TANEXO,MATCH($AI50,TANEXO_TIPO,),MATCH("CAL_"&amp;$AG50,TANEXO_CAMPOS,)),"")</f>
      </c>
      <c r="K50" s="366"/>
      <c r="L50" s="20" t="s">
        <v>35</v>
      </c>
      <c r="M50" s="63">
        <f>IF($AN50="S",0,IF(ISBLANK($M51),IF($AI50&lt;&gt;"O",IF(UPPER($O50)="2A",$AJ50,IF(UPPER($P50)="2A",$AJ50,"")),""),""))</f>
      </c>
      <c r="N50" s="121">
        <f>IF(ISBLANK($M50),"",IF($M50=0,"",IF($M50="","","tCO2/TJ")))</f>
      </c>
      <c r="O50" s="360">
        <f>IF($AI50&lt;&gt;"O",INDEX(TANEXO,MATCH($AI50,TANEXO_TIPO,),MATCH("EMI_"&amp;$AG50,TANEXO_CAMPOS,)),"")</f>
      </c>
      <c r="P50" s="366"/>
      <c r="Q50" s="20" t="s">
        <v>36</v>
      </c>
      <c r="R50" s="64">
        <f>IF($T50=2,INDEX(TVALCAL,MATCH($AH50,TVALCAL_FILAS,),MATCH("FacOxi",TVALCAL_CAMPOS,)),IF($T50=3,"",IF($S50=1,1,"")))</f>
      </c>
      <c r="S50" s="378">
        <f>IF($AI50&lt;&gt;"O",INDEX(TANEXO,MATCH($AI50,TANEXO_TIPO,),MATCH("OXI_"&amp;$AG50,TANEXO_CAMPOS,)),"")</f>
      </c>
      <c r="T50" s="155"/>
      <c r="U50" s="387">
        <f>IF(ISERROR($AA53),0,$AA53)</f>
        <v>0</v>
      </c>
      <c r="AF50" s="130">
        <f>Inicio!$AA$1</f>
        <v>2</v>
      </c>
      <c r="AG50" s="129" t="str">
        <f>INDEX(TRANGO,MATCH($AF$8,TRANGO_FILAS,),MATCH("Tipo",TRANGO_CAMPOS,))</f>
        <v>B</v>
      </c>
      <c r="AH50" s="130">
        <v>1</v>
      </c>
      <c r="AI50" s="129" t="str">
        <f>INDEX(TVALCAL,MATCH($AH50,TVALCAL_FILAS,),MATCH("Tipo",TVALCAL_CAMPOS,))</f>
        <v>O</v>
      </c>
      <c r="AJ50" s="129">
        <f>IF($AN50="O","",INDEX(TVALCAL,MATCH($AH50,TVALCAL_FILAS,),MATCH("FacEmi",TVALCAL_CAMPOS,)))</f>
        <v>0</v>
      </c>
      <c r="AK50" s="129">
        <f>INDEX(TVALCAL,MATCH($AH50,TVALCAL_FILAS,),MATCH("V.C.N.",TVALCAL_CAMPOS,))</f>
        <v>0</v>
      </c>
      <c r="AL50" s="129" t="e">
        <f>INDEX(TANEXO,MATCH($AI50,TANEXO_TIPO,),MATCH("Id",TANEXO_CAMPOS,))</f>
        <v>#N/A</v>
      </c>
      <c r="AM50" s="129" t="e">
        <f>INDEX(TANEXO,MATCH($AI50,TANEXO_TIPO,),MATCH("CAL_"&amp;$AG50,TANEXO_CAMPOS,))</f>
        <v>#N/A</v>
      </c>
      <c r="AN50" s="129" t="str">
        <f>INDEX(TVALCAL,MATCH($AH50,TVALCAL_FILAS,),MATCH("EsBio",TVALCAL_CAMPOS,))</f>
        <v>N</v>
      </c>
      <c r="AO50" s="127">
        <f>INDEX(TVALCAL,MATCH($AH50,TVALCAL_FILAS,),MATCH("NoSelec",TVALCAL_CAMPOS,))</f>
        <v>0</v>
      </c>
      <c r="AP50" s="127">
        <f>INDEX(TVALCAL,MATCH($AH50,TVALCAL_FILAS,),MATCH("FacOxi",TVALCAL_CAMPOS,))</f>
        <v>0</v>
      </c>
    </row>
    <row r="51" spans="1:21" ht="15.75" customHeight="1">
      <c r="A51" s="379"/>
      <c r="B51" s="381"/>
      <c r="C51" s="377"/>
      <c r="D51" s="150"/>
      <c r="E51" s="361"/>
      <c r="F51" s="367"/>
      <c r="G51" s="20" t="s">
        <v>25</v>
      </c>
      <c r="H51" s="242"/>
      <c r="I51" s="122">
        <v>1</v>
      </c>
      <c r="J51" s="361"/>
      <c r="K51" s="367"/>
      <c r="L51" s="20" t="s">
        <v>37</v>
      </c>
      <c r="M51" s="240"/>
      <c r="N51" s="116">
        <v>1</v>
      </c>
      <c r="O51" s="361"/>
      <c r="P51" s="367"/>
      <c r="Q51" s="20" t="s">
        <v>38</v>
      </c>
      <c r="R51" s="239"/>
      <c r="S51" s="384"/>
      <c r="T51" s="162"/>
      <c r="U51" s="388"/>
    </row>
    <row r="52" spans="1:21" ht="12.75">
      <c r="A52" s="380"/>
      <c r="B52" s="21" t="s">
        <v>21</v>
      </c>
      <c r="C52" s="238"/>
      <c r="D52" s="126">
        <f>IF(ISBLANK(C52),"","TJ")</f>
      </c>
      <c r="E52" s="362"/>
      <c r="F52" s="368"/>
      <c r="G52" s="13"/>
      <c r="H52" s="13"/>
      <c r="I52" s="13"/>
      <c r="J52" s="362"/>
      <c r="K52" s="368"/>
      <c r="L52" s="22"/>
      <c r="M52" s="22"/>
      <c r="N52" s="22"/>
      <c r="O52" s="362"/>
      <c r="P52" s="368"/>
      <c r="Q52" s="22"/>
      <c r="R52" s="22"/>
      <c r="S52" s="385"/>
      <c r="T52" s="162"/>
      <c r="U52" s="389"/>
    </row>
    <row r="53" spans="1:28" ht="12.75">
      <c r="A53" s="103"/>
      <c r="B53" s="103"/>
      <c r="C53" s="104"/>
      <c r="D53" s="104"/>
      <c r="E53" s="111"/>
      <c r="F53" s="103"/>
      <c r="G53" s="103"/>
      <c r="H53" s="265">
        <f>Y54</f>
      </c>
      <c r="I53" s="104"/>
      <c r="J53" s="111"/>
      <c r="K53" s="103"/>
      <c r="L53" s="103"/>
      <c r="M53" s="104"/>
      <c r="N53" s="104"/>
      <c r="O53" s="111"/>
      <c r="P53" s="103"/>
      <c r="Q53" s="103"/>
      <c r="R53" s="104"/>
      <c r="S53" s="72"/>
      <c r="T53" s="163"/>
      <c r="U53" s="104"/>
      <c r="V53" s="125"/>
      <c r="W53" s="127">
        <f>IF(ISBLANK($C50),$C52,IF(ISBLANK($C52),$C50,""))</f>
        <v>0</v>
      </c>
      <c r="X53" s="72">
        <f>IF(ISBLANK($H51),$H50,$H51)</f>
      </c>
      <c r="Y53" s="72">
        <f>IF(ISBLANK($M51),$M50,$M51)</f>
      </c>
      <c r="Z53" s="127">
        <f>IF(ISBLANK($R51),$R50,$R51)</f>
      </c>
      <c r="AA53" s="127" t="e">
        <f>$Z53*IF(ISBLANK($C52),$X53,1)*$Y53*$W53</f>
        <v>#VALUE!</v>
      </c>
      <c r="AB53" s="127">
        <f>IF(ISERROR($AA53),"",$AA53)</f>
      </c>
    </row>
    <row r="54" spans="1:25" ht="12.75">
      <c r="A54" s="103"/>
      <c r="B54" s="103"/>
      <c r="C54" s="104"/>
      <c r="D54" s="104"/>
      <c r="E54" s="111"/>
      <c r="F54" s="103"/>
      <c r="G54" s="103"/>
      <c r="H54" s="265"/>
      <c r="I54" s="104"/>
      <c r="J54" s="111"/>
      <c r="K54" s="103"/>
      <c r="L54" s="103"/>
      <c r="M54" s="104"/>
      <c r="N54" s="104"/>
      <c r="O54" s="111"/>
      <c r="P54" s="103"/>
      <c r="Q54" s="103"/>
      <c r="R54" s="104"/>
      <c r="S54" s="72"/>
      <c r="T54" s="163"/>
      <c r="U54" s="104"/>
      <c r="V54" s="125"/>
      <c r="W54" s="127"/>
      <c r="X54" s="72"/>
      <c r="Y54" s="12">
        <f>IF(AND(D50=3,I51&lt;&gt;3),IF(AH50=2,"Las unidades de V.C.N deben ser TJ/t (Valor inventario 0.04824 TJ/t)","Las unidades de V.C.N deben ser TJ/t"),IF(AND(D50=2,I51&lt;&gt;2),"Las unidades de V.C.N deben ser TJ/m3",""))</f>
      </c>
    </row>
    <row r="55" spans="1:21" ht="12.75">
      <c r="A55" s="395"/>
      <c r="B55" s="13"/>
      <c r="C55" s="369" t="s">
        <v>33</v>
      </c>
      <c r="D55" s="375"/>
      <c r="E55" s="375"/>
      <c r="F55" s="375"/>
      <c r="G55" s="375"/>
      <c r="H55" s="375"/>
      <c r="I55" s="375"/>
      <c r="J55" s="375"/>
      <c r="K55" s="356"/>
      <c r="M55" s="369" t="s">
        <v>144</v>
      </c>
      <c r="N55" s="370"/>
      <c r="O55" s="370"/>
      <c r="P55" s="371"/>
      <c r="Q55" s="13"/>
      <c r="R55" s="369" t="s">
        <v>99</v>
      </c>
      <c r="S55" s="383"/>
      <c r="T55" s="383"/>
      <c r="U55" s="38" t="s">
        <v>96</v>
      </c>
    </row>
    <row r="56" spans="1:42" ht="40.5">
      <c r="A56" s="395"/>
      <c r="B56" s="13"/>
      <c r="C56" s="358" t="s">
        <v>245</v>
      </c>
      <c r="D56" s="359"/>
      <c r="E56" s="355" t="s">
        <v>251</v>
      </c>
      <c r="F56" s="356"/>
      <c r="G56" s="36"/>
      <c r="H56" s="118" t="s">
        <v>247</v>
      </c>
      <c r="I56" s="124"/>
      <c r="J56" s="355" t="s">
        <v>248</v>
      </c>
      <c r="K56" s="357"/>
      <c r="L56" s="18"/>
      <c r="M56" s="358" t="s">
        <v>249</v>
      </c>
      <c r="N56" s="359"/>
      <c r="O56" s="355" t="s">
        <v>248</v>
      </c>
      <c r="P56" s="357"/>
      <c r="Q56" s="18"/>
      <c r="R56" s="37" t="s">
        <v>250</v>
      </c>
      <c r="S56" s="355" t="s">
        <v>248</v>
      </c>
      <c r="T56" s="357"/>
      <c r="U56" s="39" t="s">
        <v>97</v>
      </c>
      <c r="AF56" s="128" t="s">
        <v>53</v>
      </c>
      <c r="AG56" s="128" t="s">
        <v>54</v>
      </c>
      <c r="AH56" s="128" t="s">
        <v>55</v>
      </c>
      <c r="AI56" s="128" t="s">
        <v>28</v>
      </c>
      <c r="AJ56" s="128" t="s">
        <v>56</v>
      </c>
      <c r="AK56" s="128" t="s">
        <v>67</v>
      </c>
      <c r="AL56" s="129" t="s">
        <v>29</v>
      </c>
      <c r="AM56" s="128" t="s">
        <v>30</v>
      </c>
      <c r="AN56" s="128" t="s">
        <v>147</v>
      </c>
      <c r="AO56" s="127" t="s">
        <v>252</v>
      </c>
      <c r="AP56" s="127" t="s">
        <v>254</v>
      </c>
    </row>
    <row r="57" spans="1:42" ht="12.75">
      <c r="A57" s="320"/>
      <c r="B57" s="381" t="s">
        <v>20</v>
      </c>
      <c r="C57" s="376"/>
      <c r="D57" s="151">
        <v>1</v>
      </c>
      <c r="E57" s="378">
        <f>IF($AI57&lt;&gt;"O",INDEX(TANEXO,MATCH($AI57,TANEXO_TIPO,),MATCH("ACT_"&amp;$AG57,TANEXO_CAMPOS,)),"")</f>
      </c>
      <c r="F57" s="366"/>
      <c r="G57" s="20" t="s">
        <v>22</v>
      </c>
      <c r="H57" s="117">
        <f>IF($K57="",IF(ISBLANK($H58),IF($AI57&lt;&gt;"O",IF(UPPER($AM57)="2A",$AK57,""),""),""),IF(UPPER($K57)="2A",$AK57,""))</f>
      </c>
      <c r="I57" s="123">
        <f>IF(ISBLANK($H57),"",IF($H57="","",INDEX(TVALCAL,MATCH($AH57,TVALCAL_FILAS,),MATCH("Unidad",TVALCAL_CAMPOS,))))</f>
      </c>
      <c r="J57" s="378">
        <f>IF($AI57&lt;&gt;"O",INDEX(TANEXO,MATCH($AI57,TANEXO_TIPO,),MATCH("CAL_"&amp;$AG57,TANEXO_CAMPOS,)),"")</f>
      </c>
      <c r="K57" s="366"/>
      <c r="L57" s="20" t="s">
        <v>35</v>
      </c>
      <c r="M57" s="63">
        <f>IF($AN57="S",0,IF(ISBLANK($M58),IF($AI57&lt;&gt;"O",IF(UPPER($O57)="2A",$AJ57,IF(UPPER($P57)="2A",$AJ57,"")),""),""))</f>
      </c>
      <c r="N57" s="121">
        <f>IF(ISBLANK($M57),"",IF($M57=0,"",IF($M57="","","tCO2/TJ")))</f>
      </c>
      <c r="O57" s="360">
        <f>IF($AI57&lt;&gt;"O",INDEX(TANEXO,MATCH($AI57,TANEXO_TIPO,),MATCH("EMI_"&amp;$AG57,TANEXO_CAMPOS,)),"")</f>
      </c>
      <c r="P57" s="366"/>
      <c r="Q57" s="20" t="s">
        <v>36</v>
      </c>
      <c r="R57" s="64">
        <f>IF($T57=2,INDEX(TVALCAL,MATCH($AH57,TVALCAL_FILAS,),MATCH("FacOxi",TVALCAL_CAMPOS,)),IF($T57=3,"",IF($S57=1,1,"")))</f>
      </c>
      <c r="S57" s="378">
        <f>IF($AI57&lt;&gt;"O",INDEX(TANEXO,MATCH($AI57,TANEXO_TIPO,),MATCH("OXI_"&amp;$AG57,TANEXO_CAMPOS,)),"")</f>
      </c>
      <c r="T57" s="155"/>
      <c r="U57" s="387">
        <f>IF(ISERROR($AA60),0,$AA60)</f>
        <v>0</v>
      </c>
      <c r="AF57" s="130">
        <f>Inicio!$AA$1</f>
        <v>2</v>
      </c>
      <c r="AG57" s="129" t="str">
        <f>INDEX(TRANGO,MATCH($AF$8,TRANGO_FILAS,),MATCH("Tipo",TRANGO_CAMPOS,))</f>
        <v>B</v>
      </c>
      <c r="AH57" s="130">
        <v>1</v>
      </c>
      <c r="AI57" s="129" t="str">
        <f>INDEX(TVALCAL,MATCH($AH57,TVALCAL_FILAS,),MATCH("Tipo",TVALCAL_CAMPOS,))</f>
        <v>O</v>
      </c>
      <c r="AJ57" s="129">
        <f>IF($AN57="O","",INDEX(TVALCAL,MATCH($AH57,TVALCAL_FILAS,),MATCH("FacEmi",TVALCAL_CAMPOS,)))</f>
        <v>0</v>
      </c>
      <c r="AK57" s="129">
        <f>INDEX(TVALCAL,MATCH($AH57,TVALCAL_FILAS,),MATCH("V.C.N.",TVALCAL_CAMPOS,))</f>
        <v>0</v>
      </c>
      <c r="AL57" s="129" t="e">
        <f>INDEX(TANEXO,MATCH($AI57,TANEXO_TIPO,),MATCH("Id",TANEXO_CAMPOS,))</f>
        <v>#N/A</v>
      </c>
      <c r="AM57" s="129" t="e">
        <f>INDEX(TANEXO,MATCH($AI57,TANEXO_TIPO,),MATCH("CAL_"&amp;$AG57,TANEXO_CAMPOS,))</f>
        <v>#N/A</v>
      </c>
      <c r="AN57" s="129" t="str">
        <f>INDEX(TVALCAL,MATCH($AH57,TVALCAL_FILAS,),MATCH("EsBio",TVALCAL_CAMPOS,))</f>
        <v>N</v>
      </c>
      <c r="AO57" s="127">
        <f>INDEX(TVALCAL,MATCH($AH57,TVALCAL_FILAS,),MATCH("NoSelec",TVALCAL_CAMPOS,))</f>
        <v>0</v>
      </c>
      <c r="AP57" s="127">
        <f>INDEX(TVALCAL,MATCH($AH57,TVALCAL_FILAS,),MATCH("FacOxi",TVALCAL_CAMPOS,))</f>
        <v>0</v>
      </c>
    </row>
    <row r="58" spans="1:21" ht="15.75" customHeight="1">
      <c r="A58" s="379"/>
      <c r="B58" s="381"/>
      <c r="C58" s="377"/>
      <c r="D58" s="150"/>
      <c r="E58" s="361"/>
      <c r="F58" s="367"/>
      <c r="G58" s="20" t="s">
        <v>25</v>
      </c>
      <c r="H58" s="242"/>
      <c r="I58" s="122">
        <v>1</v>
      </c>
      <c r="J58" s="361"/>
      <c r="K58" s="367"/>
      <c r="L58" s="20" t="s">
        <v>37</v>
      </c>
      <c r="M58" s="240"/>
      <c r="N58" s="116">
        <v>1</v>
      </c>
      <c r="O58" s="361"/>
      <c r="P58" s="367"/>
      <c r="Q58" s="20" t="s">
        <v>38</v>
      </c>
      <c r="R58" s="239"/>
      <c r="S58" s="384"/>
      <c r="T58" s="162"/>
      <c r="U58" s="388"/>
    </row>
    <row r="59" spans="1:21" ht="12.75">
      <c r="A59" s="380"/>
      <c r="B59" s="21" t="s">
        <v>21</v>
      </c>
      <c r="C59" s="238"/>
      <c r="D59" s="126">
        <f>IF(ISBLANK(C59),"","TJ")</f>
      </c>
      <c r="E59" s="362"/>
      <c r="F59" s="368"/>
      <c r="G59" s="13"/>
      <c r="H59" s="13"/>
      <c r="I59" s="13"/>
      <c r="J59" s="362"/>
      <c r="K59" s="368"/>
      <c r="L59" s="22"/>
      <c r="M59" s="22"/>
      <c r="N59" s="22"/>
      <c r="O59" s="362"/>
      <c r="P59" s="368"/>
      <c r="Q59" s="22"/>
      <c r="R59" s="22"/>
      <c r="S59" s="385"/>
      <c r="T59" s="162"/>
      <c r="U59" s="389"/>
    </row>
    <row r="60" spans="1:28" ht="12.75">
      <c r="A60" s="103"/>
      <c r="B60" s="103"/>
      <c r="C60" s="104"/>
      <c r="D60" s="104"/>
      <c r="E60" s="111"/>
      <c r="F60" s="103"/>
      <c r="G60" s="103"/>
      <c r="H60" s="265">
        <f>Y61</f>
      </c>
      <c r="I60" s="104"/>
      <c r="J60" s="111"/>
      <c r="K60" s="103"/>
      <c r="L60" s="103"/>
      <c r="M60" s="104"/>
      <c r="N60" s="104"/>
      <c r="O60" s="111"/>
      <c r="P60" s="103"/>
      <c r="Q60" s="103"/>
      <c r="R60" s="104"/>
      <c r="S60" s="72"/>
      <c r="T60" s="163"/>
      <c r="U60" s="104"/>
      <c r="V60" s="125"/>
      <c r="W60" s="127">
        <f>IF(ISBLANK($C57),$C59,IF(ISBLANK($C59),$C57,""))</f>
        <v>0</v>
      </c>
      <c r="X60" s="72">
        <f>IF(ISBLANK($H58),$H57,$H58)</f>
      </c>
      <c r="Y60" s="72">
        <f>IF(ISBLANK($M58),$M57,$M58)</f>
      </c>
      <c r="Z60" s="127">
        <f>IF(ISBLANK($R58),$R57,$R58)</f>
      </c>
      <c r="AA60" s="127" t="e">
        <f>$Z60*IF(ISBLANK($C59),$X60,1)*$Y60*$W60</f>
        <v>#VALUE!</v>
      </c>
      <c r="AB60" s="127">
        <f>IF(ISERROR($AA60),"",$AA60)</f>
      </c>
    </row>
    <row r="61" spans="1:25" ht="12.75">
      <c r="A61" s="103"/>
      <c r="B61" s="103"/>
      <c r="C61" s="104"/>
      <c r="D61" s="104"/>
      <c r="E61" s="111"/>
      <c r="F61" s="103"/>
      <c r="G61" s="103"/>
      <c r="H61" s="265"/>
      <c r="I61" s="104"/>
      <c r="J61" s="111"/>
      <c r="K61" s="103"/>
      <c r="L61" s="103"/>
      <c r="M61" s="104"/>
      <c r="N61" s="104"/>
      <c r="O61" s="111"/>
      <c r="P61" s="103"/>
      <c r="Q61" s="103"/>
      <c r="R61" s="104"/>
      <c r="S61" s="72"/>
      <c r="T61" s="163"/>
      <c r="U61" s="104"/>
      <c r="V61" s="125"/>
      <c r="W61" s="127"/>
      <c r="X61" s="72"/>
      <c r="Y61" s="12">
        <f>IF(AND(D57=3,I58&lt;&gt;3),IF(AH57=2,"Las unidades de V.C.N deben ser TJ/t (Valor inventario0.04824TJ/t)","Las unidades de V.C.N deben ser TJ/t"),IF(AND(D57=2,I58&lt;&gt;2),"Las unidades de V.C.N deben ser TJ/m3",""))</f>
      </c>
    </row>
    <row r="62" spans="1:21" ht="12.75">
      <c r="A62" s="319"/>
      <c r="B62" s="13"/>
      <c r="C62" s="13"/>
      <c r="D62" s="13"/>
      <c r="E62" s="112"/>
      <c r="F62" s="13"/>
      <c r="G62" s="13"/>
      <c r="H62" s="13"/>
      <c r="I62" s="13"/>
      <c r="J62" s="112"/>
      <c r="K62" s="13"/>
      <c r="L62" s="13"/>
      <c r="M62" s="13"/>
      <c r="N62" s="13"/>
      <c r="O62" s="112"/>
      <c r="P62" s="13"/>
      <c r="Q62" s="13"/>
      <c r="R62" s="13"/>
      <c r="U62" s="105"/>
    </row>
    <row r="63" spans="1:24" ht="12.75">
      <c r="A63" s="319"/>
      <c r="B63" s="13"/>
      <c r="C63" s="13"/>
      <c r="D63" s="13"/>
      <c r="E63" s="112"/>
      <c r="F63" s="13"/>
      <c r="G63" s="13"/>
      <c r="H63" s="13"/>
      <c r="I63" s="13"/>
      <c r="J63" s="112"/>
      <c r="K63" s="13"/>
      <c r="L63" s="13"/>
      <c r="M63" s="13"/>
      <c r="N63" s="13"/>
      <c r="O63" s="112"/>
      <c r="P63" s="13"/>
      <c r="Q63" s="13"/>
      <c r="R63" s="386" t="s">
        <v>100</v>
      </c>
      <c r="S63" s="375"/>
      <c r="T63" s="375"/>
      <c r="U63" s="131">
        <f>ROUND($X63,3)</f>
        <v>0</v>
      </c>
      <c r="X63" s="12">
        <f>IF(ISERROR($AA11),0,$AA11)+IF(ISERROR($AA18),0,$AA18)+IF(ISERROR($AA25),0,$AA25)+IF(ISERROR($AA32),0,$AA32)+IF(ISERROR($AA39),0,$AA39)+IF(ISERROR($AA46),0,$AA46)+IF(ISERROR($AA53),0,$AA53)+IF(ISERROR($AA60),0,$AA60)</f>
        <v>0</v>
      </c>
    </row>
    <row r="64" spans="1:19" ht="12.75">
      <c r="A64" s="13"/>
      <c r="B64" s="13"/>
      <c r="C64" s="13"/>
      <c r="D64" s="13"/>
      <c r="E64" s="112"/>
      <c r="F64" s="13"/>
      <c r="G64" s="13"/>
      <c r="H64" s="13"/>
      <c r="I64" s="13"/>
      <c r="J64" s="112"/>
      <c r="K64" s="13"/>
      <c r="L64" s="13"/>
      <c r="M64" s="13"/>
      <c r="N64" s="13"/>
      <c r="O64" s="112"/>
      <c r="P64" s="13"/>
      <c r="Q64" s="13"/>
      <c r="R64" s="13"/>
      <c r="S64" s="30"/>
    </row>
    <row r="65" spans="1:21" ht="12.75">
      <c r="A65" s="58" t="s">
        <v>39</v>
      </c>
      <c r="B65" s="59"/>
      <c r="C65" s="392">
        <f>IF(Inicio!E18&lt;&gt;0,Inicio!E18,"")</f>
      </c>
      <c r="D65" s="392"/>
      <c r="E65" s="392"/>
      <c r="F65" s="392"/>
      <c r="G65" s="392"/>
      <c r="H65" s="392"/>
      <c r="I65" s="392"/>
      <c r="J65" s="392"/>
      <c r="K65" s="392"/>
      <c r="L65" s="394"/>
      <c r="M65" s="394"/>
      <c r="N65" s="394"/>
      <c r="O65" s="394"/>
      <c r="P65" s="394"/>
      <c r="Q65" s="394"/>
      <c r="R65" s="394"/>
      <c r="S65" s="394"/>
      <c r="T65" s="394"/>
      <c r="U65" s="394"/>
    </row>
    <row r="66" spans="1:21" ht="14.25" customHeight="1">
      <c r="A66" s="382" t="s">
        <v>58</v>
      </c>
      <c r="B66" s="13"/>
      <c r="C66" s="369" t="s">
        <v>33</v>
      </c>
      <c r="D66" s="375"/>
      <c r="E66" s="375"/>
      <c r="F66" s="375"/>
      <c r="G66" s="375"/>
      <c r="H66" s="375"/>
      <c r="I66" s="375"/>
      <c r="J66" s="375"/>
      <c r="K66" s="356"/>
      <c r="M66" s="369" t="s">
        <v>144</v>
      </c>
      <c r="N66" s="370"/>
      <c r="O66" s="370"/>
      <c r="P66" s="371"/>
      <c r="Q66" s="13"/>
      <c r="R66" s="369" t="s">
        <v>99</v>
      </c>
      <c r="S66" s="383"/>
      <c r="T66" s="383"/>
      <c r="U66" s="38" t="s">
        <v>96</v>
      </c>
    </row>
    <row r="67" spans="1:42" ht="39" customHeight="1">
      <c r="A67" s="382"/>
      <c r="B67" s="13"/>
      <c r="C67" s="358" t="s">
        <v>245</v>
      </c>
      <c r="D67" s="359">
        <v>1</v>
      </c>
      <c r="E67" s="355" t="s">
        <v>251</v>
      </c>
      <c r="F67" s="356"/>
      <c r="G67" s="36"/>
      <c r="H67" s="118" t="s">
        <v>247</v>
      </c>
      <c r="I67" s="124"/>
      <c r="J67" s="355" t="s">
        <v>248</v>
      </c>
      <c r="K67" s="357"/>
      <c r="L67" s="18"/>
      <c r="M67" s="358" t="s">
        <v>249</v>
      </c>
      <c r="N67" s="359"/>
      <c r="O67" s="355" t="s">
        <v>248</v>
      </c>
      <c r="P67" s="357"/>
      <c r="Q67" s="18"/>
      <c r="R67" s="37" t="s">
        <v>250</v>
      </c>
      <c r="S67" s="355" t="s">
        <v>248</v>
      </c>
      <c r="T67" s="357">
        <v>1</v>
      </c>
      <c r="U67" s="39" t="s">
        <v>97</v>
      </c>
      <c r="AF67" s="128" t="s">
        <v>53</v>
      </c>
      <c r="AG67" s="128" t="s">
        <v>54</v>
      </c>
      <c r="AH67" s="128" t="s">
        <v>55</v>
      </c>
      <c r="AI67" s="128" t="s">
        <v>28</v>
      </c>
      <c r="AJ67" s="128" t="s">
        <v>56</v>
      </c>
      <c r="AK67" s="128" t="s">
        <v>67</v>
      </c>
      <c r="AL67" s="129" t="s">
        <v>29</v>
      </c>
      <c r="AM67" s="128" t="s">
        <v>30</v>
      </c>
      <c r="AN67" s="128" t="s">
        <v>147</v>
      </c>
      <c r="AO67" s="127" t="s">
        <v>252</v>
      </c>
      <c r="AP67" s="127" t="s">
        <v>254</v>
      </c>
    </row>
    <row r="68" spans="1:42" ht="15.75" customHeight="1">
      <c r="A68" s="19"/>
      <c r="B68" s="381" t="s">
        <v>20</v>
      </c>
      <c r="C68" s="390"/>
      <c r="D68" s="151">
        <v>1</v>
      </c>
      <c r="E68" s="378">
        <f>IF($AI68&lt;&gt;"O",INDEX(TANEXO,MATCH($AI68,TANEXO_TIPO,),MATCH("ACT_"&amp;$AG68,TANEXO_CAMPOS,)),"")</f>
      </c>
      <c r="F68" s="363"/>
      <c r="G68" s="20" t="s">
        <v>22</v>
      </c>
      <c r="H68" s="117">
        <f>IF($K68="",IF(ISBLANK($H69),IF($AI68&lt;&gt;"O",IF(UPPER($AM68)="2A",$AK68,""),""),""),IF(UPPER($K68)="2A",$AK68,""))</f>
      </c>
      <c r="I68" s="123">
        <f>IF(ISBLANK($H68),"",IF($H68="","",INDEX(TVALCAL,MATCH($AH68,TVALCAL_FILAS,),MATCH("Unidad",TVALCAL_CAMPOS,))))</f>
      </c>
      <c r="J68" s="378">
        <f>IF($AI68&lt;&gt;"O",INDEX(TANEXO,MATCH($AI68,TANEXO_TIPO,),MATCH("CAL_"&amp;$AG68,TANEXO_CAMPOS,)),"")</f>
      </c>
      <c r="K68" s="363"/>
      <c r="L68" s="20" t="s">
        <v>35</v>
      </c>
      <c r="M68" s="63">
        <f>IF($AN68="S",0,IF(ISBLANK($M69),IF($AI68&lt;&gt;"O",IF(UPPER($O68)="2A",$AJ68,IF(UPPER($P68)="2A",$AJ68,"")),""),""))</f>
      </c>
      <c r="N68" s="121">
        <f>IF(ISBLANK($M68),"",IF($M68=0,"",IF($M68="","","tCO2/TJ")))</f>
      </c>
      <c r="O68" s="360">
        <f>IF($AI68&lt;&gt;"O",INDEX(TANEXO,MATCH($AI68,TANEXO_TIPO,),MATCH("EMI_"&amp;$AG68,TANEXO_CAMPOS,)),"")</f>
      </c>
      <c r="P68" s="363"/>
      <c r="Q68" s="20" t="s">
        <v>36</v>
      </c>
      <c r="R68" s="64">
        <f>IF($T68=2,INDEX(TVALCAL,MATCH($AH68,TVALCAL_FILAS,),MATCH("FacOxi",TVALCAL_CAMPOS,)),IF($T68=3,"",IF($S68=1,1,"")))</f>
      </c>
      <c r="S68" s="378">
        <f>IF($AI68&lt;&gt;"O",INDEX(TANEXO,MATCH($AI68,TANEXO_TIPO,),MATCH("OXI_"&amp;$AG68,TANEXO_CAMPOS,)),"")</f>
      </c>
      <c r="T68" s="155">
        <v>1</v>
      </c>
      <c r="U68" s="387">
        <f>IF(ISERROR($AA71),0,$AA71)</f>
        <v>0</v>
      </c>
      <c r="AF68" s="130">
        <f>Inicio!$AA$1</f>
        <v>2</v>
      </c>
      <c r="AG68" s="129" t="str">
        <f>INDEX(TRANGO,MATCH($AF$8,TRANGO_FILAS,),MATCH("Tipo",TRANGO_CAMPOS,))</f>
        <v>B</v>
      </c>
      <c r="AH68" s="130">
        <v>1</v>
      </c>
      <c r="AI68" s="129" t="str">
        <f>INDEX(TVALCAL,MATCH($AH68,TVALCAL_FILAS,),MATCH("Tipo",TVALCAL_CAMPOS,))</f>
        <v>O</v>
      </c>
      <c r="AJ68" s="129">
        <f>IF($AN68="O","",INDEX(TVALCAL,MATCH($AH68,TVALCAL_FILAS,),MATCH("FacEmi",TVALCAL_CAMPOS,)))</f>
        <v>0</v>
      </c>
      <c r="AK68" s="129">
        <f>INDEX(TVALCAL,MATCH($AH68,TVALCAL_FILAS,),MATCH("V.C.N.",TVALCAL_CAMPOS,))</f>
        <v>0</v>
      </c>
      <c r="AL68" s="129" t="e">
        <f>INDEX(TANEXO,MATCH($AI68,TANEXO_TIPO,),MATCH("Id",TANEXO_CAMPOS,))</f>
        <v>#N/A</v>
      </c>
      <c r="AM68" s="129" t="e">
        <f>INDEX(TANEXO,MATCH($AI68,TANEXO_TIPO,),MATCH("CAL_"&amp;$AG68,TANEXO_CAMPOS,))</f>
        <v>#N/A</v>
      </c>
      <c r="AN68" s="129" t="str">
        <f>INDEX(TVALCAL,MATCH($AH68,TVALCAL_FILAS,),MATCH("EsBio",TVALCAL_CAMPOS,))</f>
        <v>N</v>
      </c>
      <c r="AO68" s="127">
        <f>INDEX(TVALCAL,MATCH($AH68,TVALCAL_FILAS,),MATCH("NoSelec",TVALCAL_CAMPOS,))</f>
        <v>0</v>
      </c>
      <c r="AP68" s="127">
        <f>INDEX(TVALCAL,MATCH($AH68,TVALCAL_FILAS,),MATCH("FacOxi",TVALCAL_CAMPOS,))</f>
        <v>0</v>
      </c>
    </row>
    <row r="69" spans="1:21" ht="15.75" customHeight="1">
      <c r="A69" s="379"/>
      <c r="B69" s="381"/>
      <c r="C69" s="391"/>
      <c r="D69" s="150"/>
      <c r="E69" s="361"/>
      <c r="F69" s="364"/>
      <c r="G69" s="20" t="s">
        <v>25</v>
      </c>
      <c r="H69" s="31"/>
      <c r="I69" s="122">
        <v>1</v>
      </c>
      <c r="J69" s="361"/>
      <c r="K69" s="364"/>
      <c r="L69" s="20" t="s">
        <v>37</v>
      </c>
      <c r="M69" s="240"/>
      <c r="N69" s="116">
        <v>1</v>
      </c>
      <c r="O69" s="361"/>
      <c r="P69" s="364"/>
      <c r="Q69" s="20" t="s">
        <v>38</v>
      </c>
      <c r="R69" s="241"/>
      <c r="S69" s="384"/>
      <c r="T69" s="162"/>
      <c r="U69" s="388"/>
    </row>
    <row r="70" spans="1:21" ht="15.75" customHeight="1">
      <c r="A70" s="380"/>
      <c r="B70" s="21" t="s">
        <v>21</v>
      </c>
      <c r="C70" s="238"/>
      <c r="D70" s="126">
        <f>IF(ISBLANK(C70),"","TJ")</f>
      </c>
      <c r="E70" s="362"/>
      <c r="F70" s="365"/>
      <c r="G70" s="13"/>
      <c r="H70" s="13"/>
      <c r="I70" s="13"/>
      <c r="J70" s="362"/>
      <c r="K70" s="365"/>
      <c r="L70" s="22"/>
      <c r="M70" s="22"/>
      <c r="N70" s="22"/>
      <c r="O70" s="362"/>
      <c r="P70" s="365"/>
      <c r="Q70" s="22"/>
      <c r="R70" s="22"/>
      <c r="S70" s="385"/>
      <c r="T70" s="162"/>
      <c r="U70" s="389"/>
    </row>
    <row r="71" spans="1:28" ht="12.75">
      <c r="A71" s="103"/>
      <c r="B71" s="103"/>
      <c r="C71" s="104"/>
      <c r="D71" s="104"/>
      <c r="E71" s="111"/>
      <c r="F71" s="103"/>
      <c r="G71" s="103"/>
      <c r="H71" s="265">
        <f>Y72</f>
      </c>
      <c r="I71" s="104"/>
      <c r="J71" s="111"/>
      <c r="K71" s="103"/>
      <c r="L71" s="103"/>
      <c r="M71" s="104"/>
      <c r="N71" s="104"/>
      <c r="O71" s="111"/>
      <c r="P71" s="103"/>
      <c r="Q71" s="103"/>
      <c r="R71" s="104"/>
      <c r="S71" s="72"/>
      <c r="T71" s="163"/>
      <c r="U71" s="104"/>
      <c r="V71" s="125"/>
      <c r="W71" s="127">
        <f>IF(ISBLANK($C68),$C70,IF(ISBLANK($C70),$C68,""))</f>
        <v>0</v>
      </c>
      <c r="X71" s="72">
        <f>IF(ISBLANK($H69),$H68,$H69)</f>
      </c>
      <c r="Y71" s="72">
        <f>IF(ISBLANK($M69),$M68,$M69)</f>
      </c>
      <c r="Z71" s="127">
        <f>IF(ISBLANK($R69),$R68,$R69)</f>
      </c>
      <c r="AA71" s="127" t="e">
        <f>$Z71*IF(ISBLANK($C70),$X71,1)*$Y71*$W71</f>
        <v>#VALUE!</v>
      </c>
      <c r="AB71" s="127">
        <f>IF(ISERROR($AA71),"",$AA71)</f>
      </c>
    </row>
    <row r="72" spans="1:25" ht="12.75">
      <c r="A72" s="13"/>
      <c r="B72" s="13"/>
      <c r="C72" s="265">
        <f>X72</f>
      </c>
      <c r="D72" s="13"/>
      <c r="E72" s="112"/>
      <c r="F72" s="13"/>
      <c r="G72" s="13"/>
      <c r="H72" s="13"/>
      <c r="I72" s="13"/>
      <c r="J72" s="112"/>
      <c r="K72" s="265">
        <f>W72</f>
      </c>
      <c r="L72" s="13"/>
      <c r="M72" s="13"/>
      <c r="N72" s="13"/>
      <c r="O72" s="112"/>
      <c r="P72" s="13"/>
      <c r="Q72" s="13"/>
      <c r="R72" s="13"/>
      <c r="W72" s="12">
        <f>IF($AO68="2b",IF(UPPER(K$68)="2B","No se permite 2b",""),"")</f>
      </c>
      <c r="X72" s="12">
        <f>IF($AO68="2b",IF($C70&lt;&gt;"","No se permite introducir valor",""),"")</f>
      </c>
      <c r="Y72" s="12">
        <f>IF(AND(D68=3,I69&lt;&gt;3),IF(AH68=2,"Las unidades de V.C.N deben ser TJ/t (Valor inventario 0.04866 TJ/t)","Las unidades de V.C.N deben ser TJ/t"),IF(AND(D68=2,I69&lt;&gt;2),"Las unidades de V.C.N deben ser TJ/m3",""))</f>
      </c>
    </row>
    <row r="73" spans="1:21" ht="14.25" customHeight="1">
      <c r="A73" s="382" t="s">
        <v>59</v>
      </c>
      <c r="B73" s="13"/>
      <c r="C73" s="369" t="s">
        <v>33</v>
      </c>
      <c r="D73" s="375"/>
      <c r="E73" s="375"/>
      <c r="F73" s="375"/>
      <c r="G73" s="375"/>
      <c r="H73" s="375"/>
      <c r="I73" s="375"/>
      <c r="J73" s="375"/>
      <c r="K73" s="356"/>
      <c r="M73" s="369" t="s">
        <v>144</v>
      </c>
      <c r="N73" s="370"/>
      <c r="O73" s="370"/>
      <c r="P73" s="371"/>
      <c r="Q73" s="13"/>
      <c r="R73" s="369" t="s">
        <v>99</v>
      </c>
      <c r="S73" s="383"/>
      <c r="T73" s="383"/>
      <c r="U73" s="38" t="s">
        <v>96</v>
      </c>
    </row>
    <row r="74" spans="1:42" ht="36.75" customHeight="1">
      <c r="A74" s="382"/>
      <c r="B74" s="13"/>
      <c r="C74" s="358" t="s">
        <v>245</v>
      </c>
      <c r="D74" s="359">
        <v>1</v>
      </c>
      <c r="E74" s="355" t="s">
        <v>251</v>
      </c>
      <c r="F74" s="356"/>
      <c r="G74" s="36"/>
      <c r="H74" s="118" t="s">
        <v>247</v>
      </c>
      <c r="I74" s="124"/>
      <c r="J74" s="355" t="s">
        <v>248</v>
      </c>
      <c r="K74" s="357"/>
      <c r="L74" s="18"/>
      <c r="M74" s="358" t="s">
        <v>249</v>
      </c>
      <c r="N74" s="359"/>
      <c r="O74" s="355" t="s">
        <v>248</v>
      </c>
      <c r="P74" s="357"/>
      <c r="Q74" s="18"/>
      <c r="R74" s="37" t="s">
        <v>250</v>
      </c>
      <c r="S74" s="355" t="s">
        <v>248</v>
      </c>
      <c r="T74" s="357"/>
      <c r="U74" s="39" t="s">
        <v>97</v>
      </c>
      <c r="AF74" s="128" t="s">
        <v>53</v>
      </c>
      <c r="AG74" s="128" t="s">
        <v>54</v>
      </c>
      <c r="AH74" s="128" t="s">
        <v>55</v>
      </c>
      <c r="AI74" s="128" t="s">
        <v>28</v>
      </c>
      <c r="AJ74" s="128" t="s">
        <v>56</v>
      </c>
      <c r="AK74" s="128" t="s">
        <v>67</v>
      </c>
      <c r="AL74" s="129" t="s">
        <v>29</v>
      </c>
      <c r="AM74" s="128" t="s">
        <v>30</v>
      </c>
      <c r="AN74" s="128" t="s">
        <v>147</v>
      </c>
      <c r="AO74" s="127" t="s">
        <v>252</v>
      </c>
      <c r="AP74" s="127" t="s">
        <v>254</v>
      </c>
    </row>
    <row r="75" spans="1:42" ht="15.75" customHeight="1">
      <c r="A75" s="19"/>
      <c r="B75" s="381" t="s">
        <v>20</v>
      </c>
      <c r="C75" s="390"/>
      <c r="D75" s="151">
        <v>1</v>
      </c>
      <c r="E75" s="378">
        <f>IF($AI75&lt;&gt;"O",INDEX(TANEXO,MATCH($AI75,TANEXO_TIPO,),MATCH("ACT_"&amp;$AG75,TANEXO_CAMPOS,)),"")</f>
      </c>
      <c r="F75" s="363"/>
      <c r="G75" s="20" t="s">
        <v>22</v>
      </c>
      <c r="H75" s="117">
        <f>IF($K75="",IF(ISBLANK($H76),IF($AI75&lt;&gt;"O",IF(UPPER($AM75)="2A",$AK75,""),""),""),IF(UPPER($K75)="2A",$AK75,""))</f>
      </c>
      <c r="I75" s="123">
        <f>IF(ISBLANK($H75),"",IF($H75="","",INDEX(TVALCAL,MATCH($AH75,TVALCAL_FILAS,),MATCH("Unidad",TVALCAL_CAMPOS,))))</f>
      </c>
      <c r="J75" s="378">
        <f>IF($AI75&lt;&gt;"O",INDEX(TANEXO,MATCH($AI75,TANEXO_TIPO,),MATCH("CAL_"&amp;$AG75,TANEXO_CAMPOS,)),"")</f>
      </c>
      <c r="K75" s="363"/>
      <c r="L75" s="20" t="s">
        <v>35</v>
      </c>
      <c r="M75" s="63">
        <f>IF($AN75="S",0,IF(ISBLANK($M76),IF($AI75&lt;&gt;"O",IF(UPPER($O75)="2A",$AJ75,IF(UPPER($P75)="2A",$AJ75,"")),""),""))</f>
      </c>
      <c r="N75" s="121">
        <f>IF(ISBLANK($M75),"",IF($M75=0,"",IF($M75="","","tCO2/TJ")))</f>
      </c>
      <c r="O75" s="360">
        <f>IF($AI75&lt;&gt;"O",INDEX(TANEXO,MATCH($AI75,TANEXO_TIPO,),MATCH("EMI_"&amp;$AG75,TANEXO_CAMPOS,)),"")</f>
      </c>
      <c r="P75" s="363"/>
      <c r="Q75" s="20" t="s">
        <v>36</v>
      </c>
      <c r="R75" s="64">
        <f>IF($T75=2,INDEX(TVALCAL,MATCH($AH75,TVALCAL_FILAS,),MATCH("FacOxi",TVALCAL_CAMPOS,)),IF($T75=3,"",IF($S75=1,1,"")))</f>
      </c>
      <c r="S75" s="378">
        <f>IF($AI75&lt;&gt;"O",INDEX(TANEXO,MATCH($AI75,TANEXO_TIPO,),MATCH("OXI_"&amp;$AG75,TANEXO_CAMPOS,)),"")</f>
      </c>
      <c r="T75" s="155"/>
      <c r="U75" s="387">
        <f>IF(ISERROR($AA78),0,$AA78)</f>
        <v>0</v>
      </c>
      <c r="AF75" s="130">
        <f>Inicio!$AA$1</f>
        <v>2</v>
      </c>
      <c r="AG75" s="129" t="str">
        <f>INDEX(TRANGO,MATCH($AF$8,TRANGO_FILAS,),MATCH("Tipo",TRANGO_CAMPOS,))</f>
        <v>B</v>
      </c>
      <c r="AH75" s="130">
        <v>1</v>
      </c>
      <c r="AI75" s="129" t="str">
        <f>INDEX(TVALCAL,MATCH($AH75,TVALCAL_FILAS,),MATCH("Tipo",TVALCAL_CAMPOS,))</f>
        <v>O</v>
      </c>
      <c r="AJ75" s="129">
        <f>IF($AN75="O","",INDEX(TVALCAL,MATCH($AH75,TVALCAL_FILAS,),MATCH("FacEmi",TVALCAL_CAMPOS,)))</f>
        <v>0</v>
      </c>
      <c r="AK75" s="129">
        <f>INDEX(TVALCAL,MATCH($AH75,TVALCAL_FILAS,),MATCH("V.C.N.",TVALCAL_CAMPOS,))</f>
        <v>0</v>
      </c>
      <c r="AL75" s="129" t="e">
        <f>INDEX(TANEXO,MATCH($AI75,TANEXO_TIPO,),MATCH("Id",TANEXO_CAMPOS,))</f>
        <v>#N/A</v>
      </c>
      <c r="AM75" s="129" t="e">
        <f>INDEX(TANEXO,MATCH($AI75,TANEXO_TIPO,),MATCH("CAL_"&amp;$AG75,TANEXO_CAMPOS,))</f>
        <v>#N/A</v>
      </c>
      <c r="AN75" s="129" t="str">
        <f>INDEX(TVALCAL,MATCH($AH75,TVALCAL_FILAS,),MATCH("EsBio",TVALCAL_CAMPOS,))</f>
        <v>N</v>
      </c>
      <c r="AO75" s="127">
        <f>INDEX(TVALCAL,MATCH($AH75,TVALCAL_FILAS,),MATCH("NoSelec",TVALCAL_CAMPOS,))</f>
        <v>0</v>
      </c>
      <c r="AP75" s="127">
        <f>INDEX(TVALCAL,MATCH($AH75,TVALCAL_FILAS,),MATCH("FacOxi",TVALCAL_CAMPOS,))</f>
        <v>0</v>
      </c>
    </row>
    <row r="76" spans="1:21" ht="15.75" customHeight="1">
      <c r="A76" s="379"/>
      <c r="B76" s="381"/>
      <c r="C76" s="391"/>
      <c r="D76" s="150"/>
      <c r="E76" s="361"/>
      <c r="F76" s="364"/>
      <c r="G76" s="20" t="s">
        <v>25</v>
      </c>
      <c r="H76" s="31"/>
      <c r="I76" s="122">
        <v>1</v>
      </c>
      <c r="J76" s="361"/>
      <c r="K76" s="364"/>
      <c r="L76" s="20" t="s">
        <v>37</v>
      </c>
      <c r="M76" s="240"/>
      <c r="N76" s="116">
        <v>1</v>
      </c>
      <c r="O76" s="361"/>
      <c r="P76" s="364"/>
      <c r="Q76" s="20" t="s">
        <v>38</v>
      </c>
      <c r="R76" s="239"/>
      <c r="S76" s="384"/>
      <c r="T76" s="162"/>
      <c r="U76" s="388"/>
    </row>
    <row r="77" spans="1:21" ht="15.75" customHeight="1">
      <c r="A77" s="380"/>
      <c r="B77" s="21" t="s">
        <v>21</v>
      </c>
      <c r="C77" s="238"/>
      <c r="D77" s="126">
        <f>IF(ISBLANK(C77),"","TJ")</f>
      </c>
      <c r="E77" s="362"/>
      <c r="F77" s="365"/>
      <c r="G77" s="13"/>
      <c r="H77" s="13"/>
      <c r="I77" s="13"/>
      <c r="J77" s="362"/>
      <c r="K77" s="365"/>
      <c r="L77" s="22"/>
      <c r="M77" s="22"/>
      <c r="N77" s="22"/>
      <c r="O77" s="362"/>
      <c r="P77" s="365"/>
      <c r="Q77" s="22"/>
      <c r="R77" s="22"/>
      <c r="S77" s="385"/>
      <c r="T77" s="162"/>
      <c r="U77" s="389"/>
    </row>
    <row r="78" spans="1:28" ht="12.75">
      <c r="A78" s="103"/>
      <c r="B78" s="103"/>
      <c r="C78" s="104"/>
      <c r="D78" s="104"/>
      <c r="E78" s="111"/>
      <c r="F78" s="103"/>
      <c r="G78" s="103"/>
      <c r="H78" s="265">
        <f>Y79</f>
      </c>
      <c r="I78" s="104"/>
      <c r="J78" s="111"/>
      <c r="K78" s="103"/>
      <c r="L78" s="103"/>
      <c r="M78" s="104"/>
      <c r="N78" s="104"/>
      <c r="O78" s="111"/>
      <c r="P78" s="103"/>
      <c r="Q78" s="103"/>
      <c r="R78" s="104"/>
      <c r="S78" s="72"/>
      <c r="T78" s="163"/>
      <c r="U78" s="104"/>
      <c r="V78" s="125"/>
      <c r="W78" s="127">
        <f>IF(ISBLANK($C75),$C77,IF(ISBLANK($C77),$C75,""))</f>
        <v>0</v>
      </c>
      <c r="X78" s="72">
        <f>IF(ISBLANK($H76),$H75,$H76)</f>
      </c>
      <c r="Y78" s="72">
        <f>IF(ISBLANK($M76),$M75,$M76)</f>
      </c>
      <c r="Z78" s="127">
        <f>IF(ISBLANK($R76),$R75,$R76)</f>
      </c>
      <c r="AA78" s="127" t="e">
        <f>$Z78*IF(ISBLANK($C77),$X78,1)*$Y78*$W78</f>
        <v>#VALUE!</v>
      </c>
      <c r="AB78" s="127">
        <f>IF(ISERROR($AA78),"",$AA78)</f>
      </c>
    </row>
    <row r="79" spans="1:25" ht="12.75">
      <c r="A79" s="13"/>
      <c r="B79" s="13"/>
      <c r="C79" s="265">
        <f>X79</f>
      </c>
      <c r="D79" s="13"/>
      <c r="E79" s="112"/>
      <c r="F79" s="13"/>
      <c r="G79" s="13"/>
      <c r="H79" s="13"/>
      <c r="I79" s="13"/>
      <c r="J79" s="112"/>
      <c r="K79" s="265">
        <f>W79</f>
      </c>
      <c r="L79" s="13"/>
      <c r="M79" s="13"/>
      <c r="N79" s="13"/>
      <c r="O79" s="112"/>
      <c r="P79" s="13"/>
      <c r="Q79" s="13"/>
      <c r="R79" s="13"/>
      <c r="W79" s="12">
        <f>IF($AO75="2b",IF(UPPER(K$75)="2B","No se permite 2b",""),"")</f>
      </c>
      <c r="X79" s="12">
        <f>IF($AO75="2b",IF($C77&lt;&gt;"","No se permite introducir valor",""),"")</f>
      </c>
      <c r="Y79" s="12">
        <f>IF(AND(D75=3,I76&lt;&gt;3),IF(AH75=2,"Las unidades de V.C.N deben ser TJ/t (Valor inventario 0.04866 TJ/t)","Las unidades de V.C.N deben ser TJ/t"),IF(AND(D75=2,I76&lt;&gt;2),"Las unidades de V.C.N deben ser TJ/m3",""))</f>
      </c>
    </row>
    <row r="80" spans="1:21" ht="14.25" customHeight="1">
      <c r="A80" s="382" t="s">
        <v>60</v>
      </c>
      <c r="B80" s="13"/>
      <c r="C80" s="369" t="s">
        <v>33</v>
      </c>
      <c r="D80" s="375"/>
      <c r="E80" s="375"/>
      <c r="F80" s="375"/>
      <c r="G80" s="375"/>
      <c r="H80" s="375"/>
      <c r="I80" s="375"/>
      <c r="J80" s="375"/>
      <c r="K80" s="356"/>
      <c r="M80" s="369" t="s">
        <v>144</v>
      </c>
      <c r="N80" s="370"/>
      <c r="O80" s="370"/>
      <c r="P80" s="371"/>
      <c r="Q80" s="13"/>
      <c r="R80" s="369" t="s">
        <v>99</v>
      </c>
      <c r="S80" s="383"/>
      <c r="T80" s="383"/>
      <c r="U80" s="38" t="s">
        <v>96</v>
      </c>
    </row>
    <row r="81" spans="1:42" ht="36.75" customHeight="1">
      <c r="A81" s="382"/>
      <c r="B81" s="13"/>
      <c r="C81" s="358" t="s">
        <v>245</v>
      </c>
      <c r="D81" s="359">
        <v>1</v>
      </c>
      <c r="E81" s="355" t="s">
        <v>251</v>
      </c>
      <c r="F81" s="356"/>
      <c r="G81" s="36"/>
      <c r="H81" s="118" t="s">
        <v>247</v>
      </c>
      <c r="I81" s="124"/>
      <c r="J81" s="355" t="s">
        <v>248</v>
      </c>
      <c r="K81" s="357"/>
      <c r="L81" s="18"/>
      <c r="M81" s="358" t="s">
        <v>249</v>
      </c>
      <c r="N81" s="359"/>
      <c r="O81" s="355" t="s">
        <v>248</v>
      </c>
      <c r="P81" s="357"/>
      <c r="Q81" s="18"/>
      <c r="R81" s="37" t="s">
        <v>250</v>
      </c>
      <c r="S81" s="355" t="s">
        <v>248</v>
      </c>
      <c r="T81" s="357"/>
      <c r="U81" s="39" t="s">
        <v>97</v>
      </c>
      <c r="AF81" s="128" t="s">
        <v>53</v>
      </c>
      <c r="AG81" s="128" t="s">
        <v>54</v>
      </c>
      <c r="AH81" s="128" t="s">
        <v>55</v>
      </c>
      <c r="AI81" s="128" t="s">
        <v>28</v>
      </c>
      <c r="AJ81" s="128" t="s">
        <v>56</v>
      </c>
      <c r="AK81" s="128" t="s">
        <v>67</v>
      </c>
      <c r="AL81" s="129" t="s">
        <v>29</v>
      </c>
      <c r="AM81" s="128" t="s">
        <v>30</v>
      </c>
      <c r="AN81" s="128" t="s">
        <v>147</v>
      </c>
      <c r="AO81" s="127" t="s">
        <v>252</v>
      </c>
      <c r="AP81" s="127" t="s">
        <v>254</v>
      </c>
    </row>
    <row r="82" spans="1:42" ht="15.75" customHeight="1">
      <c r="A82" s="19"/>
      <c r="B82" s="381" t="s">
        <v>20</v>
      </c>
      <c r="C82" s="390"/>
      <c r="D82" s="151">
        <v>1</v>
      </c>
      <c r="E82" s="378">
        <f>IF($AI82&lt;&gt;"O",INDEX(TANEXO,MATCH($AI82,TANEXO_TIPO,),MATCH("ACT_"&amp;$AG82,TANEXO_CAMPOS,)),"")</f>
      </c>
      <c r="F82" s="363"/>
      <c r="G82" s="20" t="s">
        <v>22</v>
      </c>
      <c r="H82" s="117">
        <f>IF($K82="",IF(ISBLANK($H83),IF($AI82&lt;&gt;"O",IF(UPPER($AM82)="2A",$AK82,""),""),""),IF(UPPER($K82)="2A",$AK82,""))</f>
      </c>
      <c r="I82" s="123">
        <f>IF(ISBLANK($H82),"",IF($H82="","",INDEX(TVALCAL,MATCH($AH82,TVALCAL_FILAS,),MATCH("Unidad",TVALCAL_CAMPOS,))))</f>
      </c>
      <c r="J82" s="378">
        <f>IF($AI82&lt;&gt;"O",INDEX(TANEXO,MATCH($AI82,TANEXO_TIPO,),MATCH("CAL_"&amp;$AG82,TANEXO_CAMPOS,)),"")</f>
      </c>
      <c r="K82" s="363"/>
      <c r="L82" s="20" t="s">
        <v>35</v>
      </c>
      <c r="M82" s="63">
        <f>IF($AN75="S",0,IF(ISBLANK($M83),IF($AI82&lt;&gt;"O",IF(UPPER($O82)="2A",$AJ82,IF(UPPER($P82)="2A",$AJ82,"")),""),""))</f>
      </c>
      <c r="N82" s="121">
        <f>IF(ISBLANK($M82),"",IF($M82=0,"",IF($M82="","","tCO2/TJ")))</f>
      </c>
      <c r="O82" s="360">
        <f>IF($AI82&lt;&gt;"O",INDEX(TANEXO,MATCH($AI82,TANEXO_TIPO,),MATCH("EMI_"&amp;$AG82,TANEXO_CAMPOS,)),"")</f>
      </c>
      <c r="P82" s="363"/>
      <c r="Q82" s="20" t="s">
        <v>36</v>
      </c>
      <c r="R82" s="64">
        <f>IF($T82=2,INDEX(TVALCAL,MATCH($AH82,TVALCAL_FILAS,),MATCH("FacOxi",TVALCAL_CAMPOS,)),IF($T82=3,"",IF($S82=1,1,"")))</f>
      </c>
      <c r="S82" s="378">
        <f>IF($AI82&lt;&gt;"O",INDEX(TANEXO,MATCH($AI82,TANEXO_TIPO,),MATCH("OXI_"&amp;$AG82,TANEXO_CAMPOS,)),"")</f>
      </c>
      <c r="T82" s="155"/>
      <c r="U82" s="387">
        <f>IF(ISERROR($AA85),0,$AA85)</f>
        <v>0</v>
      </c>
      <c r="AF82" s="130">
        <f>Inicio!$AA$1</f>
        <v>2</v>
      </c>
      <c r="AG82" s="129" t="str">
        <f>INDEX(TRANGO,MATCH($AF$8,TRANGO_FILAS,),MATCH("Tipo",TRANGO_CAMPOS,))</f>
        <v>B</v>
      </c>
      <c r="AH82" s="130">
        <v>1</v>
      </c>
      <c r="AI82" s="129" t="str">
        <f>INDEX(TVALCAL,MATCH($AH82,TVALCAL_FILAS,),MATCH("Tipo",TVALCAL_CAMPOS,))</f>
        <v>O</v>
      </c>
      <c r="AJ82" s="129">
        <f>IF($AN82="O","",INDEX(TVALCAL,MATCH($AH82,TVALCAL_FILAS,),MATCH("FacEmi",TVALCAL_CAMPOS,)))</f>
        <v>0</v>
      </c>
      <c r="AK82" s="129">
        <f>INDEX(TVALCAL,MATCH($AH82,TVALCAL_FILAS,),MATCH("V.C.N.",TVALCAL_CAMPOS,))</f>
        <v>0</v>
      </c>
      <c r="AL82" s="129" t="e">
        <f>INDEX(TANEXO,MATCH($AI82,TANEXO_TIPO,),MATCH("Id",TANEXO_CAMPOS,))</f>
        <v>#N/A</v>
      </c>
      <c r="AM82" s="129" t="e">
        <f>INDEX(TANEXO,MATCH($AI82,TANEXO_TIPO,),MATCH("CAL_"&amp;$AG82,TANEXO_CAMPOS,))</f>
        <v>#N/A</v>
      </c>
      <c r="AN82" s="129" t="str">
        <f>INDEX(TVALCAL,MATCH($AH82,TVALCAL_FILAS,),MATCH("EsBio",TVALCAL_CAMPOS,))</f>
        <v>N</v>
      </c>
      <c r="AO82" s="127">
        <f>INDEX(TVALCAL,MATCH($AH82,TVALCAL_FILAS,),MATCH("NoSelec",TVALCAL_CAMPOS,))</f>
        <v>0</v>
      </c>
      <c r="AP82" s="127">
        <f>INDEX(TVALCAL,MATCH($AH82,TVALCAL_FILAS,),MATCH("FacOxi",TVALCAL_CAMPOS,))</f>
        <v>0</v>
      </c>
    </row>
    <row r="83" spans="1:21" ht="15.75" customHeight="1">
      <c r="A83" s="379"/>
      <c r="B83" s="381"/>
      <c r="C83" s="391"/>
      <c r="D83" s="150"/>
      <c r="E83" s="361"/>
      <c r="F83" s="364"/>
      <c r="G83" s="20" t="s">
        <v>25</v>
      </c>
      <c r="H83" s="31"/>
      <c r="I83" s="122">
        <v>1</v>
      </c>
      <c r="J83" s="361"/>
      <c r="K83" s="364"/>
      <c r="L83" s="20" t="s">
        <v>37</v>
      </c>
      <c r="M83" s="240"/>
      <c r="N83" s="116">
        <v>1</v>
      </c>
      <c r="O83" s="361"/>
      <c r="P83" s="364"/>
      <c r="Q83" s="20" t="s">
        <v>38</v>
      </c>
      <c r="R83" s="239"/>
      <c r="S83" s="384"/>
      <c r="T83" s="162"/>
      <c r="U83" s="388"/>
    </row>
    <row r="84" spans="1:21" ht="15.75" customHeight="1">
      <c r="A84" s="380"/>
      <c r="B84" s="21" t="s">
        <v>21</v>
      </c>
      <c r="C84" s="238"/>
      <c r="D84" s="126">
        <f>IF(ISBLANK(C84),"","TJ")</f>
      </c>
      <c r="E84" s="362"/>
      <c r="F84" s="365"/>
      <c r="G84" s="13"/>
      <c r="H84" s="13"/>
      <c r="I84" s="13"/>
      <c r="J84" s="362"/>
      <c r="K84" s="365"/>
      <c r="L84" s="22"/>
      <c r="M84" s="22"/>
      <c r="N84" s="22"/>
      <c r="O84" s="362"/>
      <c r="P84" s="365"/>
      <c r="Q84" s="22"/>
      <c r="R84" s="22"/>
      <c r="S84" s="385"/>
      <c r="T84" s="162"/>
      <c r="U84" s="389"/>
    </row>
    <row r="85" spans="1:28" ht="12.75">
      <c r="A85" s="103"/>
      <c r="B85" s="103"/>
      <c r="C85" s="104"/>
      <c r="D85" s="104"/>
      <c r="E85" s="111"/>
      <c r="F85" s="103"/>
      <c r="G85" s="103"/>
      <c r="H85" s="265">
        <f>Y86</f>
      </c>
      <c r="I85" s="104"/>
      <c r="J85" s="111"/>
      <c r="K85" s="103"/>
      <c r="L85" s="103"/>
      <c r="M85" s="104"/>
      <c r="N85" s="104"/>
      <c r="O85" s="111"/>
      <c r="P85" s="103"/>
      <c r="Q85" s="103"/>
      <c r="R85" s="104"/>
      <c r="S85" s="72"/>
      <c r="T85" s="163"/>
      <c r="U85" s="104"/>
      <c r="V85" s="125"/>
      <c r="W85" s="127">
        <f>IF(ISBLANK($C82),$C84,IF(ISBLANK($C84),$C82,""))</f>
        <v>0</v>
      </c>
      <c r="X85" s="72">
        <f>IF(ISBLANK($H83),$H82,$H83)</f>
      </c>
      <c r="Y85" s="72">
        <f>IF(ISBLANK($M83),$M82,$M83)</f>
      </c>
      <c r="Z85" s="127">
        <f>IF(ISBLANK($R83),$R82,$R83)</f>
      </c>
      <c r="AA85" s="127" t="e">
        <f>$Z85*IF(ISBLANK($C84),$X85,1)*$Y85*$W85</f>
        <v>#VALUE!</v>
      </c>
      <c r="AB85" s="127">
        <f>IF(ISERROR($AA85),"",$AA85)</f>
      </c>
    </row>
    <row r="86" spans="1:25" ht="12.75">
      <c r="A86" s="13"/>
      <c r="B86" s="13"/>
      <c r="C86" s="265">
        <f>X86</f>
      </c>
      <c r="D86" s="13"/>
      <c r="E86" s="112"/>
      <c r="F86" s="13"/>
      <c r="G86" s="13"/>
      <c r="H86" s="13"/>
      <c r="I86" s="13"/>
      <c r="J86" s="112"/>
      <c r="K86" s="265">
        <f>W86</f>
      </c>
      <c r="L86" s="13"/>
      <c r="M86" s="13"/>
      <c r="N86" s="13"/>
      <c r="O86" s="112"/>
      <c r="P86" s="13"/>
      <c r="Q86" s="13"/>
      <c r="R86" s="13"/>
      <c r="W86" s="12">
        <f>IF($AO82="2b",IF(UPPER(K$82)="2B","No se permite 2b",""),"")</f>
      </c>
      <c r="X86" s="12">
        <f>IF($AO82="2b",IF($C84&lt;&gt;"","No se permite introducir valor",""),"")</f>
      </c>
      <c r="Y86" s="12">
        <f>IF(AND(D82=3,I83&lt;&gt;3),IF(AH82=2,"Las unidades de V.C.N deben ser TJ/t (Valor inventario 0.04866 TJ/t)","Las unidades de V.C.N deben ser TJ/t"),IF(AND(D82=2,I83&lt;&gt;2),"Las unidades de V.C.N deben ser TJ/m3",""))</f>
      </c>
    </row>
    <row r="87" spans="1:21" ht="14.25" customHeight="1">
      <c r="A87" s="382" t="s">
        <v>61</v>
      </c>
      <c r="B87" s="13"/>
      <c r="C87" s="369" t="s">
        <v>33</v>
      </c>
      <c r="D87" s="375"/>
      <c r="E87" s="375"/>
      <c r="F87" s="375"/>
      <c r="G87" s="375"/>
      <c r="H87" s="375"/>
      <c r="I87" s="375"/>
      <c r="J87" s="375"/>
      <c r="K87" s="356"/>
      <c r="M87" s="369" t="s">
        <v>144</v>
      </c>
      <c r="N87" s="370"/>
      <c r="O87" s="370"/>
      <c r="P87" s="371"/>
      <c r="Q87" s="13"/>
      <c r="R87" s="369" t="s">
        <v>99</v>
      </c>
      <c r="S87" s="383"/>
      <c r="T87" s="383"/>
      <c r="U87" s="38" t="s">
        <v>96</v>
      </c>
    </row>
    <row r="88" spans="1:42" ht="36.75" customHeight="1">
      <c r="A88" s="382"/>
      <c r="B88" s="13"/>
      <c r="C88" s="358" t="s">
        <v>245</v>
      </c>
      <c r="D88" s="359">
        <v>1</v>
      </c>
      <c r="E88" s="355" t="s">
        <v>251</v>
      </c>
      <c r="F88" s="356"/>
      <c r="G88" s="36"/>
      <c r="H88" s="118" t="s">
        <v>247</v>
      </c>
      <c r="I88" s="124"/>
      <c r="J88" s="355" t="s">
        <v>248</v>
      </c>
      <c r="K88" s="357"/>
      <c r="L88" s="18"/>
      <c r="M88" s="358" t="s">
        <v>249</v>
      </c>
      <c r="N88" s="359"/>
      <c r="O88" s="355" t="s">
        <v>248</v>
      </c>
      <c r="P88" s="357"/>
      <c r="Q88" s="18"/>
      <c r="R88" s="37" t="s">
        <v>250</v>
      </c>
      <c r="S88" s="355" t="s">
        <v>248</v>
      </c>
      <c r="T88" s="357"/>
      <c r="U88" s="39" t="s">
        <v>97</v>
      </c>
      <c r="AF88" s="128" t="s">
        <v>53</v>
      </c>
      <c r="AG88" s="128" t="s">
        <v>54</v>
      </c>
      <c r="AH88" s="128" t="s">
        <v>55</v>
      </c>
      <c r="AI88" s="128" t="s">
        <v>28</v>
      </c>
      <c r="AJ88" s="128" t="s">
        <v>56</v>
      </c>
      <c r="AK88" s="128" t="s">
        <v>67</v>
      </c>
      <c r="AL88" s="129" t="s">
        <v>29</v>
      </c>
      <c r="AM88" s="128" t="s">
        <v>30</v>
      </c>
      <c r="AN88" s="128" t="s">
        <v>147</v>
      </c>
      <c r="AO88" s="127" t="s">
        <v>252</v>
      </c>
      <c r="AP88" s="127" t="s">
        <v>254</v>
      </c>
    </row>
    <row r="89" spans="1:42" ht="15.75" customHeight="1">
      <c r="A89" s="19"/>
      <c r="B89" s="381" t="s">
        <v>20</v>
      </c>
      <c r="C89" s="390"/>
      <c r="D89" s="151">
        <v>1</v>
      </c>
      <c r="E89" s="378">
        <f>IF($AI89&lt;&gt;"O",INDEX(TANEXO,MATCH($AI89,TANEXO_TIPO,),MATCH("ACT_"&amp;$AG89,TANEXO_CAMPOS,)),"")</f>
      </c>
      <c r="F89" s="363"/>
      <c r="G89" s="20" t="s">
        <v>22</v>
      </c>
      <c r="H89" s="117">
        <f>IF($K89="",IF(ISBLANK($H90),IF($AI89&lt;&gt;"O",IF(UPPER($AM89)="2A",$AK89,""),""),""),IF(UPPER($K89)="2A",$AK89,""))</f>
      </c>
      <c r="I89" s="123">
        <f>IF(ISBLANK($H89),"",IF($H89="","",INDEX(TVALCAL,MATCH($AH89,TVALCAL_FILAS,),MATCH("Unidad",TVALCAL_CAMPOS,))))</f>
      </c>
      <c r="J89" s="378">
        <f>IF($AI89&lt;&gt;"O",INDEX(TANEXO,MATCH($AI89,TANEXO_TIPO,),MATCH("CAL_"&amp;$AG89,TANEXO_CAMPOS,)),"")</f>
      </c>
      <c r="K89" s="363"/>
      <c r="L89" s="20" t="s">
        <v>35</v>
      </c>
      <c r="M89" s="63">
        <f>IF($AN89="S",0,IF(ISBLANK($M90),IF($AI89&lt;&gt;"O",IF(UPPER($O89)="2A",$AJ89,IF(UPPER($P89)="2A",$AJ89,"")),""),""))</f>
      </c>
      <c r="N89" s="121">
        <f>IF(ISBLANK($M89),"",IF($M89=0,"",IF($M89="","","tCO2/TJ")))</f>
      </c>
      <c r="O89" s="360">
        <f>IF($AI89&lt;&gt;"O",INDEX(TANEXO,MATCH($AI89,TANEXO_TIPO,),MATCH("EMI_"&amp;$AG89,TANEXO_CAMPOS,)),"")</f>
      </c>
      <c r="P89" s="363"/>
      <c r="Q89" s="20" t="s">
        <v>36</v>
      </c>
      <c r="R89" s="64">
        <f>IF($T89=2,INDEX(TVALCAL,MATCH($AH89,TVALCAL_FILAS,),MATCH("FacOxi",TVALCAL_CAMPOS,)),IF($T89=3,"",IF($S89=1,1,"")))</f>
      </c>
      <c r="S89" s="378">
        <f>IF($AI89&lt;&gt;"O",INDEX(TANEXO,MATCH($AI89,TANEXO_TIPO,),MATCH("OXI_"&amp;$AG89,TANEXO_CAMPOS,)),"")</f>
      </c>
      <c r="T89" s="155"/>
      <c r="U89" s="387">
        <f>IF(ISERROR($AA92),0,$AA92)</f>
        <v>0</v>
      </c>
      <c r="AF89" s="130">
        <f>Inicio!$AA$1</f>
        <v>2</v>
      </c>
      <c r="AG89" s="129" t="str">
        <f>INDEX(TRANGO,MATCH($AF$8,TRANGO_FILAS,),MATCH("Tipo",TRANGO_CAMPOS,))</f>
        <v>B</v>
      </c>
      <c r="AH89" s="130">
        <v>1</v>
      </c>
      <c r="AI89" s="129" t="str">
        <f>INDEX(TVALCAL,MATCH($AH89,TVALCAL_FILAS,),MATCH("Tipo",TVALCAL_CAMPOS,))</f>
        <v>O</v>
      </c>
      <c r="AJ89" s="129">
        <f>IF($AN89="O","",INDEX(TVALCAL,MATCH($AH89,TVALCAL_FILAS,),MATCH("FacEmi",TVALCAL_CAMPOS,)))</f>
        <v>0</v>
      </c>
      <c r="AK89" s="129">
        <f>INDEX(TVALCAL,MATCH($AH89,TVALCAL_FILAS,),MATCH("V.C.N.",TVALCAL_CAMPOS,))</f>
        <v>0</v>
      </c>
      <c r="AL89" s="129" t="e">
        <f>INDEX(TANEXO,MATCH($AI89,TANEXO_TIPO,),MATCH("Id",TANEXO_CAMPOS,))</f>
        <v>#N/A</v>
      </c>
      <c r="AM89" s="129" t="e">
        <f>INDEX(TANEXO,MATCH($AI89,TANEXO_TIPO,),MATCH("CAL_"&amp;$AG89,TANEXO_CAMPOS,))</f>
        <v>#N/A</v>
      </c>
      <c r="AN89" s="129" t="str">
        <f>INDEX(TVALCAL,MATCH($AH89,TVALCAL_FILAS,),MATCH("EsBio",TVALCAL_CAMPOS,))</f>
        <v>N</v>
      </c>
      <c r="AO89" s="127">
        <f>INDEX(TVALCAL,MATCH($AH89,TVALCAL_FILAS,),MATCH("NoSelec",TVALCAL_CAMPOS,))</f>
        <v>0</v>
      </c>
      <c r="AP89" s="127">
        <f>INDEX(TVALCAL,MATCH($AH89,TVALCAL_FILAS,),MATCH("FacOxi",TVALCAL_CAMPOS,))</f>
        <v>0</v>
      </c>
    </row>
    <row r="90" spans="1:21" ht="15.75" customHeight="1">
      <c r="A90" s="379"/>
      <c r="B90" s="381"/>
      <c r="C90" s="391"/>
      <c r="D90" s="150"/>
      <c r="E90" s="361"/>
      <c r="F90" s="364"/>
      <c r="G90" s="20" t="s">
        <v>25</v>
      </c>
      <c r="H90" s="31"/>
      <c r="I90" s="122">
        <v>1</v>
      </c>
      <c r="J90" s="361"/>
      <c r="K90" s="364"/>
      <c r="L90" s="20" t="s">
        <v>37</v>
      </c>
      <c r="M90" s="240"/>
      <c r="N90" s="116">
        <v>1</v>
      </c>
      <c r="O90" s="361"/>
      <c r="P90" s="364"/>
      <c r="Q90" s="20" t="s">
        <v>38</v>
      </c>
      <c r="R90" s="239"/>
      <c r="S90" s="384"/>
      <c r="T90" s="162"/>
      <c r="U90" s="388"/>
    </row>
    <row r="91" spans="1:21" ht="15.75" customHeight="1">
      <c r="A91" s="380"/>
      <c r="B91" s="21" t="s">
        <v>21</v>
      </c>
      <c r="C91" s="238"/>
      <c r="D91" s="126">
        <f>IF(ISBLANK(C91),"","TJ")</f>
      </c>
      <c r="E91" s="362"/>
      <c r="F91" s="365"/>
      <c r="G91" s="13"/>
      <c r="H91" s="13"/>
      <c r="I91" s="13"/>
      <c r="J91" s="362"/>
      <c r="K91" s="365"/>
      <c r="L91" s="22"/>
      <c r="M91" s="22"/>
      <c r="N91" s="22"/>
      <c r="O91" s="362"/>
      <c r="P91" s="365"/>
      <c r="Q91" s="22"/>
      <c r="R91" s="22"/>
      <c r="S91" s="385"/>
      <c r="T91" s="162"/>
      <c r="U91" s="389"/>
    </row>
    <row r="92" spans="1:28" ht="12.75">
      <c r="A92" s="103"/>
      <c r="B92" s="103"/>
      <c r="C92" s="104"/>
      <c r="D92" s="104"/>
      <c r="E92" s="111"/>
      <c r="F92" s="103"/>
      <c r="G92" s="103"/>
      <c r="H92" s="265">
        <f>Y93</f>
      </c>
      <c r="I92" s="104"/>
      <c r="J92" s="111"/>
      <c r="K92" s="103"/>
      <c r="L92" s="103"/>
      <c r="M92" s="104"/>
      <c r="N92" s="104"/>
      <c r="O92" s="111"/>
      <c r="P92" s="103"/>
      <c r="Q92" s="103"/>
      <c r="R92" s="104"/>
      <c r="S92" s="72"/>
      <c r="T92" s="163"/>
      <c r="U92" s="104"/>
      <c r="V92" s="125"/>
      <c r="W92" s="127">
        <f>IF(ISBLANK($C89),$C91,IF(ISBLANK($C91),$C89,""))</f>
        <v>0</v>
      </c>
      <c r="X92" s="72">
        <f>IF(ISBLANK($H90),$H89,$H90)</f>
      </c>
      <c r="Y92" s="72">
        <f>IF(ISBLANK($M90),$M89,$M90)</f>
      </c>
      <c r="Z92" s="127">
        <f>IF(ISBLANK($R90),$R89,$R90)</f>
      </c>
      <c r="AA92" s="127" t="e">
        <f>$Z92*IF(ISBLANK($C91),$X92,1)*$Y92*$W92</f>
        <v>#VALUE!</v>
      </c>
      <c r="AB92" s="127">
        <f>IF(ISERROR($AA92),"",$AA92)</f>
      </c>
    </row>
    <row r="93" spans="1:25" ht="12.75">
      <c r="A93" s="13"/>
      <c r="B93" s="13"/>
      <c r="C93" s="265">
        <f>X93</f>
      </c>
      <c r="D93" s="13"/>
      <c r="E93" s="112"/>
      <c r="F93" s="13"/>
      <c r="G93" s="13"/>
      <c r="H93" s="13"/>
      <c r="I93" s="13"/>
      <c r="J93" s="112"/>
      <c r="K93" s="265">
        <f>W93</f>
      </c>
      <c r="L93" s="13"/>
      <c r="M93" s="13"/>
      <c r="N93" s="13"/>
      <c r="O93" s="112"/>
      <c r="P93" s="13"/>
      <c r="Q93" s="13"/>
      <c r="R93" s="13"/>
      <c r="W93" s="12">
        <f>IF($AO89="2b",IF(UPPER(K$89)="2B","No se permite 2b",""),"")</f>
      </c>
      <c r="X93" s="12">
        <f>IF($AO89="2b",IF($C91&lt;&gt;"","No se permite introducir valor",""),"")</f>
      </c>
      <c r="Y93" s="12">
        <f>IF(AND(D89=3,I90&lt;&gt;3),IF(AH89=2,"Las unidades de V.C.N deben ser TJ/t (Valor inventario 0.04866 TJ/t)","Las unidades de V.C.N deben ser TJ/t"),IF(AND(D89=2,I90&lt;&gt;2),"Las unidades de V.C.N deben ser TJ/m3",""))</f>
      </c>
    </row>
    <row r="94" spans="1:21" ht="14.25" customHeight="1">
      <c r="A94" s="382" t="s">
        <v>62</v>
      </c>
      <c r="B94" s="13"/>
      <c r="C94" s="369" t="s">
        <v>33</v>
      </c>
      <c r="D94" s="375"/>
      <c r="E94" s="375"/>
      <c r="F94" s="375"/>
      <c r="G94" s="375"/>
      <c r="H94" s="375"/>
      <c r="I94" s="375"/>
      <c r="J94" s="375"/>
      <c r="K94" s="356"/>
      <c r="M94" s="369" t="s">
        <v>144</v>
      </c>
      <c r="N94" s="370"/>
      <c r="O94" s="370"/>
      <c r="P94" s="371"/>
      <c r="Q94" s="13"/>
      <c r="R94" s="369" t="s">
        <v>99</v>
      </c>
      <c r="S94" s="383"/>
      <c r="T94" s="383"/>
      <c r="U94" s="38" t="s">
        <v>96</v>
      </c>
    </row>
    <row r="95" spans="1:42" ht="36.75" customHeight="1">
      <c r="A95" s="382"/>
      <c r="B95" s="13"/>
      <c r="C95" s="358" t="s">
        <v>245</v>
      </c>
      <c r="D95" s="359">
        <v>1</v>
      </c>
      <c r="E95" s="355" t="s">
        <v>251</v>
      </c>
      <c r="F95" s="356"/>
      <c r="G95" s="36"/>
      <c r="H95" s="118" t="s">
        <v>247</v>
      </c>
      <c r="I95" s="124"/>
      <c r="J95" s="355" t="s">
        <v>248</v>
      </c>
      <c r="K95" s="357"/>
      <c r="L95" s="18"/>
      <c r="M95" s="358" t="s">
        <v>249</v>
      </c>
      <c r="N95" s="359"/>
      <c r="O95" s="355" t="s">
        <v>248</v>
      </c>
      <c r="P95" s="357"/>
      <c r="Q95" s="18"/>
      <c r="R95" s="37" t="s">
        <v>250</v>
      </c>
      <c r="S95" s="355" t="s">
        <v>248</v>
      </c>
      <c r="T95" s="357"/>
      <c r="U95" s="39" t="s">
        <v>97</v>
      </c>
      <c r="AF95" s="128" t="s">
        <v>53</v>
      </c>
      <c r="AG95" s="128" t="s">
        <v>54</v>
      </c>
      <c r="AH95" s="128" t="s">
        <v>55</v>
      </c>
      <c r="AI95" s="128" t="s">
        <v>28</v>
      </c>
      <c r="AJ95" s="128" t="s">
        <v>56</v>
      </c>
      <c r="AK95" s="128" t="s">
        <v>67</v>
      </c>
      <c r="AL95" s="129" t="s">
        <v>29</v>
      </c>
      <c r="AM95" s="128" t="s">
        <v>30</v>
      </c>
      <c r="AN95" s="128" t="s">
        <v>147</v>
      </c>
      <c r="AO95" s="127" t="s">
        <v>252</v>
      </c>
      <c r="AP95" s="127" t="s">
        <v>254</v>
      </c>
    </row>
    <row r="96" spans="1:42" ht="15.75" customHeight="1">
      <c r="A96" s="19"/>
      <c r="B96" s="381" t="s">
        <v>20</v>
      </c>
      <c r="C96" s="390"/>
      <c r="D96" s="151">
        <v>1</v>
      </c>
      <c r="E96" s="378">
        <f>IF($AI96&lt;&gt;"O",INDEX(TANEXO,MATCH($AI96,TANEXO_TIPO,),MATCH("ACT_"&amp;$AG96,TANEXO_CAMPOS,)),"")</f>
      </c>
      <c r="F96" s="363"/>
      <c r="G96" s="20" t="s">
        <v>22</v>
      </c>
      <c r="H96" s="117">
        <f>IF($K96="",IF(ISBLANK($H97),IF($AI96&lt;&gt;"O",IF(UPPER($AM96)="2A",$AK96,""),""),""),IF(UPPER($K96)="2A",$AK96,""))</f>
      </c>
      <c r="I96" s="123">
        <f>IF(ISBLANK($H96),"",IF($H96="","",INDEX(TVALCAL,MATCH($AH96,TVALCAL_FILAS,),MATCH("Unidad",TVALCAL_CAMPOS,))))</f>
      </c>
      <c r="J96" s="378">
        <f>IF($AI96&lt;&gt;"O",INDEX(TANEXO,MATCH($AI96,TANEXO_TIPO,),MATCH("CAL_"&amp;$AG96,TANEXO_CAMPOS,)),"")</f>
      </c>
      <c r="K96" s="363"/>
      <c r="L96" s="20" t="s">
        <v>35</v>
      </c>
      <c r="M96" s="63">
        <f>IF($AN96="S",0,IF(ISBLANK($M97),IF($AI96&lt;&gt;"O",IF(UPPER($O96)="2A",$AJ96,IF(UPPER($P96)="2A",$AJ96,"")),""),""))</f>
      </c>
      <c r="N96" s="121">
        <f>IF(ISBLANK($M96),"",IF($M96=0,"",IF($M96="","","tCO2/TJ")))</f>
      </c>
      <c r="O96" s="360">
        <f>IF($AI96&lt;&gt;"O",INDEX(TANEXO,MATCH($AI96,TANEXO_TIPO,),MATCH("EMI_"&amp;$AG96,TANEXO_CAMPOS,)),"")</f>
      </c>
      <c r="P96" s="363"/>
      <c r="Q96" s="20" t="s">
        <v>36</v>
      </c>
      <c r="R96" s="64">
        <f>IF($T96=2,INDEX(TVALCAL,MATCH($AH96,TVALCAL_FILAS,),MATCH("FacOxi",TVALCAL_CAMPOS,)),IF($T96=3,"",IF($S96=1,1,"")))</f>
      </c>
      <c r="S96" s="378">
        <f>IF($AI96&lt;&gt;"O",INDEX(TANEXO,MATCH($AI96,TANEXO_TIPO,),MATCH("OXI_"&amp;$AG96,TANEXO_CAMPOS,)),"")</f>
      </c>
      <c r="T96" s="155"/>
      <c r="U96" s="387">
        <f>IF(ISERROR($AA99),0,$AA99)</f>
        <v>0</v>
      </c>
      <c r="AF96" s="130">
        <f>Inicio!$AA$1</f>
        <v>2</v>
      </c>
      <c r="AG96" s="129" t="str">
        <f>INDEX(TRANGO,MATCH($AF$8,TRANGO_FILAS,),MATCH("Tipo",TRANGO_CAMPOS,))</f>
        <v>B</v>
      </c>
      <c r="AH96" s="130">
        <v>1</v>
      </c>
      <c r="AI96" s="129" t="str">
        <f>INDEX(TVALCAL,MATCH($AH96,TVALCAL_FILAS,),MATCH("Tipo",TVALCAL_CAMPOS,))</f>
        <v>O</v>
      </c>
      <c r="AJ96" s="129">
        <f>IF($AN96="O","",INDEX(TVALCAL,MATCH($AH96,TVALCAL_FILAS,),MATCH("FacEmi",TVALCAL_CAMPOS,)))</f>
        <v>0</v>
      </c>
      <c r="AK96" s="129">
        <f>INDEX(TVALCAL,MATCH($AH96,TVALCAL_FILAS,),MATCH("V.C.N.",TVALCAL_CAMPOS,))</f>
        <v>0</v>
      </c>
      <c r="AL96" s="129" t="e">
        <f>INDEX(TANEXO,MATCH($AI96,TANEXO_TIPO,),MATCH("Id",TANEXO_CAMPOS,))</f>
        <v>#N/A</v>
      </c>
      <c r="AM96" s="129" t="e">
        <f>INDEX(TANEXO,MATCH($AI96,TANEXO_TIPO,),MATCH("CAL_"&amp;$AG96,TANEXO_CAMPOS,))</f>
        <v>#N/A</v>
      </c>
      <c r="AN96" s="129" t="str">
        <f>INDEX(TVALCAL,MATCH($AH96,TVALCAL_FILAS,),MATCH("EsBio",TVALCAL_CAMPOS,))</f>
        <v>N</v>
      </c>
      <c r="AO96" s="127">
        <f>INDEX(TVALCAL,MATCH($AH96,TVALCAL_FILAS,),MATCH("NoSelec",TVALCAL_CAMPOS,))</f>
        <v>0</v>
      </c>
      <c r="AP96" s="127">
        <f>INDEX(TVALCAL,MATCH($AH96,TVALCAL_FILAS,),MATCH("FacOxi",TVALCAL_CAMPOS,))</f>
        <v>0</v>
      </c>
    </row>
    <row r="97" spans="1:21" ht="15.75" customHeight="1">
      <c r="A97" s="379"/>
      <c r="B97" s="381"/>
      <c r="C97" s="391"/>
      <c r="D97" s="150"/>
      <c r="E97" s="361"/>
      <c r="F97" s="364"/>
      <c r="G97" s="20" t="s">
        <v>25</v>
      </c>
      <c r="H97" s="31"/>
      <c r="I97" s="122">
        <v>1</v>
      </c>
      <c r="J97" s="361"/>
      <c r="K97" s="364"/>
      <c r="L97" s="20" t="s">
        <v>37</v>
      </c>
      <c r="M97" s="240"/>
      <c r="N97" s="116">
        <v>1</v>
      </c>
      <c r="O97" s="361"/>
      <c r="P97" s="364"/>
      <c r="Q97" s="20" t="s">
        <v>38</v>
      </c>
      <c r="R97" s="239"/>
      <c r="S97" s="384"/>
      <c r="T97" s="162"/>
      <c r="U97" s="388"/>
    </row>
    <row r="98" spans="1:21" ht="15.75" customHeight="1">
      <c r="A98" s="380"/>
      <c r="B98" s="21" t="s">
        <v>21</v>
      </c>
      <c r="C98" s="238"/>
      <c r="D98" s="126">
        <f>IF(ISBLANK(C98),"","TJ")</f>
      </c>
      <c r="E98" s="362"/>
      <c r="F98" s="365"/>
      <c r="G98" s="13"/>
      <c r="H98" s="13"/>
      <c r="I98" s="13"/>
      <c r="J98" s="362"/>
      <c r="K98" s="365"/>
      <c r="L98" s="22"/>
      <c r="M98" s="22"/>
      <c r="N98" s="22"/>
      <c r="O98" s="362"/>
      <c r="P98" s="365"/>
      <c r="Q98" s="22"/>
      <c r="R98" s="22"/>
      <c r="S98" s="385"/>
      <c r="T98" s="162"/>
      <c r="U98" s="389"/>
    </row>
    <row r="99" spans="1:28" ht="12.75">
      <c r="A99" s="103"/>
      <c r="B99" s="103"/>
      <c r="C99" s="104"/>
      <c r="D99" s="104"/>
      <c r="E99" s="111"/>
      <c r="F99" s="103"/>
      <c r="G99" s="103"/>
      <c r="H99" s="265">
        <f>Y100</f>
      </c>
      <c r="I99" s="104"/>
      <c r="J99" s="111"/>
      <c r="K99" s="103"/>
      <c r="L99" s="103"/>
      <c r="M99" s="104"/>
      <c r="N99" s="104"/>
      <c r="O99" s="111"/>
      <c r="P99" s="103"/>
      <c r="Q99" s="103"/>
      <c r="R99" s="104"/>
      <c r="S99" s="72"/>
      <c r="T99" s="163"/>
      <c r="U99" s="104"/>
      <c r="V99" s="125"/>
      <c r="W99" s="127">
        <f>IF(ISBLANK($C96),$C98,IF(ISBLANK($C98),$C96,""))</f>
        <v>0</v>
      </c>
      <c r="X99" s="72">
        <f>IF(ISBLANK($H97),$H96,$H97)</f>
      </c>
      <c r="Y99" s="72">
        <f>IF(ISBLANK($M97),$M96,$M97)</f>
      </c>
      <c r="Z99" s="127">
        <f>IF(ISBLANK($R97),$R96,$R97)</f>
      </c>
      <c r="AA99" s="127" t="e">
        <f>$Z99*IF(ISBLANK($C98),$X99,1)*$Y99*$W99</f>
        <v>#VALUE!</v>
      </c>
      <c r="AB99" s="127">
        <f>IF(ISERROR($AA99),"",$AA99)</f>
      </c>
    </row>
    <row r="100" spans="1:25" ht="12.75">
      <c r="A100" s="13"/>
      <c r="B100" s="13"/>
      <c r="C100" s="265">
        <f>X100</f>
      </c>
      <c r="D100" s="13"/>
      <c r="E100" s="112"/>
      <c r="F100" s="13"/>
      <c r="G100" s="13"/>
      <c r="H100" s="13"/>
      <c r="I100" s="13"/>
      <c r="J100" s="112"/>
      <c r="K100" s="265">
        <f>W100</f>
      </c>
      <c r="L100" s="13"/>
      <c r="M100" s="13"/>
      <c r="N100" s="13"/>
      <c r="O100" s="112"/>
      <c r="P100" s="13"/>
      <c r="Q100" s="13"/>
      <c r="R100" s="13"/>
      <c r="W100" s="12">
        <f>IF($AO96="2b",IF(UPPER(K$96)="2B","No se permite 2b",""),"")</f>
      </c>
      <c r="X100" s="12">
        <f>IF($AO96="2b",IF($C98&lt;&gt;"","No se permite introducir valor",""),"")</f>
      </c>
      <c r="Y100" s="12">
        <f>IF(AND(D96=3,I97&lt;&gt;3),IF(AH96=2,"Las unidades de V.C.N deben ser TJ/t (Valor inventario 0.04866 TJ/t)","Las unidades de V.C.N deben ser TJ/t"),IF(AND(D96=2,I97&lt;&gt;2),"Las unidades de V.C.N deben ser TJ/m3",""))</f>
      </c>
    </row>
    <row r="101" spans="1:21" ht="12.75">
      <c r="A101" s="382" t="s">
        <v>362</v>
      </c>
      <c r="B101" s="13"/>
      <c r="C101" s="369" t="s">
        <v>33</v>
      </c>
      <c r="D101" s="375"/>
      <c r="E101" s="375"/>
      <c r="F101" s="375"/>
      <c r="G101" s="375"/>
      <c r="H101" s="375"/>
      <c r="I101" s="375"/>
      <c r="J101" s="375"/>
      <c r="K101" s="356"/>
      <c r="M101" s="369" t="s">
        <v>144</v>
      </c>
      <c r="N101" s="370"/>
      <c r="O101" s="370"/>
      <c r="P101" s="371"/>
      <c r="Q101" s="13"/>
      <c r="R101" s="369" t="s">
        <v>99</v>
      </c>
      <c r="S101" s="383"/>
      <c r="T101" s="383"/>
      <c r="U101" s="38" t="s">
        <v>96</v>
      </c>
    </row>
    <row r="102" spans="1:42" ht="40.5">
      <c r="A102" s="382"/>
      <c r="B102" s="13"/>
      <c r="C102" s="358" t="s">
        <v>245</v>
      </c>
      <c r="D102" s="359">
        <v>1</v>
      </c>
      <c r="E102" s="355" t="s">
        <v>251</v>
      </c>
      <c r="F102" s="356"/>
      <c r="G102" s="36"/>
      <c r="H102" s="118" t="s">
        <v>247</v>
      </c>
      <c r="I102" s="124"/>
      <c r="J102" s="355" t="s">
        <v>248</v>
      </c>
      <c r="K102" s="357"/>
      <c r="L102" s="18"/>
      <c r="M102" s="358" t="s">
        <v>249</v>
      </c>
      <c r="N102" s="359"/>
      <c r="O102" s="355" t="s">
        <v>248</v>
      </c>
      <c r="P102" s="357"/>
      <c r="Q102" s="18"/>
      <c r="R102" s="37" t="s">
        <v>250</v>
      </c>
      <c r="S102" s="355" t="s">
        <v>248</v>
      </c>
      <c r="T102" s="357"/>
      <c r="U102" s="39" t="s">
        <v>97</v>
      </c>
      <c r="AF102" s="128" t="s">
        <v>53</v>
      </c>
      <c r="AG102" s="128" t="s">
        <v>54</v>
      </c>
      <c r="AH102" s="128" t="s">
        <v>55</v>
      </c>
      <c r="AI102" s="128" t="s">
        <v>28</v>
      </c>
      <c r="AJ102" s="128" t="s">
        <v>56</v>
      </c>
      <c r="AK102" s="128" t="s">
        <v>67</v>
      </c>
      <c r="AL102" s="129" t="s">
        <v>29</v>
      </c>
      <c r="AM102" s="128" t="s">
        <v>30</v>
      </c>
      <c r="AN102" s="128" t="s">
        <v>147</v>
      </c>
      <c r="AO102" s="127" t="s">
        <v>252</v>
      </c>
      <c r="AP102" s="127" t="s">
        <v>254</v>
      </c>
    </row>
    <row r="103" spans="1:42" ht="12.75">
      <c r="A103" s="19"/>
      <c r="B103" s="381" t="s">
        <v>20</v>
      </c>
      <c r="C103" s="390"/>
      <c r="D103" s="151">
        <v>1</v>
      </c>
      <c r="E103" s="378">
        <f>IF($AI103&lt;&gt;"O",INDEX(TANEXO,MATCH($AI103,TANEXO_TIPO,),MATCH("ACT_"&amp;$AG103,TANEXO_CAMPOS,)),"")</f>
      </c>
      <c r="F103" s="363"/>
      <c r="G103" s="20" t="s">
        <v>22</v>
      </c>
      <c r="H103" s="117">
        <f>IF($K103="",IF(ISBLANK($H104),IF($AI103&lt;&gt;"O",IF(UPPER($AM103)="2A",$AK103,""),""),""),IF(UPPER($K103)="2A",$AK103,""))</f>
      </c>
      <c r="I103" s="123">
        <f>IF(ISBLANK($H103),"",IF($H103="","",INDEX(TVALCAL,MATCH($AH103,TVALCAL_FILAS,),MATCH("Unidad",TVALCAL_CAMPOS,))))</f>
      </c>
      <c r="J103" s="378">
        <f>IF($AI103&lt;&gt;"O",INDEX(TANEXO,MATCH($AI103,TANEXO_TIPO,),MATCH("CAL_"&amp;$AG103,TANEXO_CAMPOS,)),"")</f>
      </c>
      <c r="K103" s="363"/>
      <c r="L103" s="20" t="s">
        <v>35</v>
      </c>
      <c r="M103" s="63">
        <f>IF($AN103="S",0,IF(ISBLANK($M104),IF($AI103&lt;&gt;"O",IF(UPPER($O103)="2A",$AJ103,IF(UPPER($P103)="2A",$AJ103,"")),""),""))</f>
      </c>
      <c r="N103" s="121">
        <f>IF(ISBLANK($M103),"",IF($M103=0,"",IF($M103="","","tCO2/TJ")))</f>
      </c>
      <c r="O103" s="360">
        <f>IF($AI103&lt;&gt;"O",INDEX(TANEXO,MATCH($AI103,TANEXO_TIPO,),MATCH("EMI_"&amp;$AG103,TANEXO_CAMPOS,)),"")</f>
      </c>
      <c r="P103" s="363"/>
      <c r="Q103" s="20" t="s">
        <v>36</v>
      </c>
      <c r="R103" s="64">
        <f>IF($T103=2,INDEX(TVALCAL,MATCH($AH103,TVALCAL_FILAS,),MATCH("FacOxi",TVALCAL_CAMPOS,)),IF($T103=3,"",IF($S103=1,1,"")))</f>
      </c>
      <c r="S103" s="378">
        <f>IF($AI103&lt;&gt;"O",INDEX(TANEXO,MATCH($AI103,TANEXO_TIPO,),MATCH("OXI_"&amp;$AG103,TANEXO_CAMPOS,)),"")</f>
      </c>
      <c r="T103" s="155"/>
      <c r="U103" s="387">
        <f>IF(ISERROR($AA106),0,$AA106)</f>
        <v>0</v>
      </c>
      <c r="AF103" s="130">
        <f>Inicio!$AA$1</f>
        <v>2</v>
      </c>
      <c r="AG103" s="129" t="str">
        <f>INDEX(TRANGO,MATCH($AF$8,TRANGO_FILAS,),MATCH("Tipo",TRANGO_CAMPOS,))</f>
        <v>B</v>
      </c>
      <c r="AH103" s="130">
        <v>1</v>
      </c>
      <c r="AI103" s="129" t="str">
        <f>INDEX(TVALCAL,MATCH($AH103,TVALCAL_FILAS,),MATCH("Tipo",TVALCAL_CAMPOS,))</f>
        <v>O</v>
      </c>
      <c r="AJ103" s="129">
        <f>IF($AN103="O","",INDEX(TVALCAL,MATCH($AH103,TVALCAL_FILAS,),MATCH("FacEmi",TVALCAL_CAMPOS,)))</f>
        <v>0</v>
      </c>
      <c r="AK103" s="129">
        <f>INDEX(TVALCAL,MATCH($AH103,TVALCAL_FILAS,),MATCH("V.C.N.",TVALCAL_CAMPOS,))</f>
        <v>0</v>
      </c>
      <c r="AL103" s="129" t="e">
        <f>INDEX(TANEXO,MATCH($AI103,TANEXO_TIPO,),MATCH("Id",TANEXO_CAMPOS,))</f>
        <v>#N/A</v>
      </c>
      <c r="AM103" s="129" t="e">
        <f>INDEX(TANEXO,MATCH($AI103,TANEXO_TIPO,),MATCH("CAL_"&amp;$AG103,TANEXO_CAMPOS,))</f>
        <v>#N/A</v>
      </c>
      <c r="AN103" s="129" t="str">
        <f>INDEX(TVALCAL,MATCH($AH103,TVALCAL_FILAS,),MATCH("EsBio",TVALCAL_CAMPOS,))</f>
        <v>N</v>
      </c>
      <c r="AO103" s="127">
        <f>INDEX(TVALCAL,MATCH($AH103,TVALCAL_FILAS,),MATCH("NoSelec",TVALCAL_CAMPOS,))</f>
        <v>0</v>
      </c>
      <c r="AP103" s="127">
        <f>INDEX(TVALCAL,MATCH($AH103,TVALCAL_FILAS,),MATCH("FacOxi",TVALCAL_CAMPOS,))</f>
        <v>0</v>
      </c>
    </row>
    <row r="104" spans="1:21" ht="15.75" customHeight="1">
      <c r="A104" s="379"/>
      <c r="B104" s="381"/>
      <c r="C104" s="391"/>
      <c r="D104" s="150"/>
      <c r="E104" s="361"/>
      <c r="F104" s="364"/>
      <c r="G104" s="20" t="s">
        <v>25</v>
      </c>
      <c r="H104" s="31"/>
      <c r="I104" s="122">
        <v>1</v>
      </c>
      <c r="J104" s="361"/>
      <c r="K104" s="364"/>
      <c r="L104" s="20" t="s">
        <v>37</v>
      </c>
      <c r="M104" s="240"/>
      <c r="N104" s="116">
        <v>1</v>
      </c>
      <c r="O104" s="361"/>
      <c r="P104" s="364"/>
      <c r="Q104" s="20" t="s">
        <v>38</v>
      </c>
      <c r="R104" s="239"/>
      <c r="S104" s="384"/>
      <c r="T104" s="162"/>
      <c r="U104" s="388"/>
    </row>
    <row r="105" spans="1:21" ht="12.75">
      <c r="A105" s="380"/>
      <c r="B105" s="21" t="s">
        <v>21</v>
      </c>
      <c r="C105" s="238"/>
      <c r="D105" s="126">
        <f>IF(ISBLANK(C105),"","TJ")</f>
      </c>
      <c r="E105" s="362"/>
      <c r="F105" s="365"/>
      <c r="G105" s="13"/>
      <c r="H105" s="13"/>
      <c r="I105" s="13"/>
      <c r="J105" s="362"/>
      <c r="K105" s="365"/>
      <c r="L105" s="22"/>
      <c r="M105" s="22"/>
      <c r="N105" s="22"/>
      <c r="O105" s="362"/>
      <c r="P105" s="365"/>
      <c r="Q105" s="22"/>
      <c r="R105" s="22"/>
      <c r="S105" s="385"/>
      <c r="T105" s="162"/>
      <c r="U105" s="389"/>
    </row>
    <row r="106" spans="1:28" ht="12.75">
      <c r="A106" s="103"/>
      <c r="B106" s="103"/>
      <c r="C106" s="104"/>
      <c r="D106" s="104"/>
      <c r="E106" s="111"/>
      <c r="F106" s="103"/>
      <c r="G106" s="103"/>
      <c r="H106" s="265">
        <f>Y107</f>
      </c>
      <c r="I106" s="104"/>
      <c r="J106" s="111"/>
      <c r="K106" s="103"/>
      <c r="L106" s="103"/>
      <c r="M106" s="104"/>
      <c r="N106" s="104"/>
      <c r="O106" s="111"/>
      <c r="P106" s="103"/>
      <c r="Q106" s="103"/>
      <c r="R106" s="104"/>
      <c r="S106" s="72"/>
      <c r="T106" s="163"/>
      <c r="U106" s="104"/>
      <c r="V106" s="125"/>
      <c r="W106" s="127">
        <f>IF(ISBLANK($C103),$C105,IF(ISBLANK($C105),$C103,""))</f>
        <v>0</v>
      </c>
      <c r="X106" s="72">
        <f>IF(ISBLANK($H104),$H103,$H104)</f>
      </c>
      <c r="Y106" s="72">
        <f>IF(ISBLANK($M104),$M103,$M104)</f>
      </c>
      <c r="Z106" s="127">
        <f>IF(ISBLANK($R104),$R103,$R104)</f>
      </c>
      <c r="AA106" s="127" t="e">
        <f>$Z106*IF(ISBLANK($C105),$X106,1)*$Y106*$W106</f>
        <v>#VALUE!</v>
      </c>
      <c r="AB106" s="127">
        <f>IF(ISERROR($AA106),"",$AA106)</f>
      </c>
    </row>
    <row r="107" spans="1:25" ht="12.75">
      <c r="A107" s="13"/>
      <c r="B107" s="13"/>
      <c r="C107" s="265">
        <f>X107</f>
      </c>
      <c r="D107" s="13"/>
      <c r="E107" s="112"/>
      <c r="F107" s="13"/>
      <c r="G107" s="13"/>
      <c r="H107" s="13"/>
      <c r="I107" s="13"/>
      <c r="J107" s="112"/>
      <c r="K107" s="265">
        <f>W107</f>
      </c>
      <c r="L107" s="13"/>
      <c r="M107" s="13"/>
      <c r="N107" s="13"/>
      <c r="O107" s="112"/>
      <c r="P107" s="13"/>
      <c r="Q107" s="13"/>
      <c r="R107" s="13"/>
      <c r="W107" s="12">
        <f>IF($AO103="2b",IF(UPPER(K$96)="2B","No se permite 2b",""),"")</f>
      </c>
      <c r="X107" s="12">
        <f>IF($AO103="2b",IF($C105&lt;&gt;"","No se permite introducir valor",""),"")</f>
      </c>
      <c r="Y107" s="12">
        <f>IF(AND(D103=3,I104&lt;&gt;3),IF(AH103=2,"Las unidades de V.C.N deben ser TJ/t (Valor inventario 0.04866 TJ/t)","Las unidades de V.C.N deben ser TJ/t"),IF(AND(D103=2,I104&lt;&gt;2),"Las unidades de V.C.N deben ser TJ/m3",""))</f>
      </c>
    </row>
    <row r="108" spans="1:21" ht="12.75">
      <c r="A108" s="382" t="s">
        <v>363</v>
      </c>
      <c r="B108" s="13"/>
      <c r="C108" s="369" t="s">
        <v>33</v>
      </c>
      <c r="D108" s="375"/>
      <c r="E108" s="375"/>
      <c r="F108" s="375"/>
      <c r="G108" s="375"/>
      <c r="H108" s="375"/>
      <c r="I108" s="375"/>
      <c r="J108" s="375"/>
      <c r="K108" s="356"/>
      <c r="M108" s="369" t="s">
        <v>144</v>
      </c>
      <c r="N108" s="370"/>
      <c r="O108" s="370"/>
      <c r="P108" s="371"/>
      <c r="Q108" s="13"/>
      <c r="R108" s="369" t="s">
        <v>99</v>
      </c>
      <c r="S108" s="383"/>
      <c r="T108" s="383"/>
      <c r="U108" s="38" t="s">
        <v>96</v>
      </c>
    </row>
    <row r="109" spans="1:42" ht="40.5">
      <c r="A109" s="382"/>
      <c r="B109" s="13"/>
      <c r="C109" s="358" t="s">
        <v>245</v>
      </c>
      <c r="D109" s="359">
        <v>1</v>
      </c>
      <c r="E109" s="355" t="s">
        <v>251</v>
      </c>
      <c r="F109" s="356"/>
      <c r="G109" s="36"/>
      <c r="H109" s="118" t="s">
        <v>247</v>
      </c>
      <c r="I109" s="124"/>
      <c r="J109" s="355" t="s">
        <v>248</v>
      </c>
      <c r="K109" s="357"/>
      <c r="L109" s="18"/>
      <c r="M109" s="358" t="s">
        <v>249</v>
      </c>
      <c r="N109" s="359"/>
      <c r="O109" s="355" t="s">
        <v>248</v>
      </c>
      <c r="P109" s="357"/>
      <c r="Q109" s="18"/>
      <c r="R109" s="37" t="s">
        <v>250</v>
      </c>
      <c r="S109" s="355" t="s">
        <v>248</v>
      </c>
      <c r="T109" s="357"/>
      <c r="U109" s="39" t="s">
        <v>97</v>
      </c>
      <c r="AF109" s="128" t="s">
        <v>53</v>
      </c>
      <c r="AG109" s="128" t="s">
        <v>54</v>
      </c>
      <c r="AH109" s="128" t="s">
        <v>55</v>
      </c>
      <c r="AI109" s="128" t="s">
        <v>28</v>
      </c>
      <c r="AJ109" s="128" t="s">
        <v>56</v>
      </c>
      <c r="AK109" s="128" t="s">
        <v>67</v>
      </c>
      <c r="AL109" s="129" t="s">
        <v>29</v>
      </c>
      <c r="AM109" s="128" t="s">
        <v>30</v>
      </c>
      <c r="AN109" s="128" t="s">
        <v>147</v>
      </c>
      <c r="AO109" s="127" t="s">
        <v>252</v>
      </c>
      <c r="AP109" s="127" t="s">
        <v>254</v>
      </c>
    </row>
    <row r="110" spans="1:42" ht="12.75">
      <c r="A110" s="19"/>
      <c r="B110" s="381" t="s">
        <v>20</v>
      </c>
      <c r="C110" s="390"/>
      <c r="D110" s="151">
        <v>1</v>
      </c>
      <c r="E110" s="378">
        <f>IF($AI110&lt;&gt;"O",INDEX(TANEXO,MATCH($AI110,TANEXO_TIPO,),MATCH("ACT_"&amp;$AG110,TANEXO_CAMPOS,)),"")</f>
      </c>
      <c r="F110" s="363"/>
      <c r="G110" s="20" t="s">
        <v>22</v>
      </c>
      <c r="H110" s="117">
        <f>IF($K110="",IF(ISBLANK($H111),IF($AI110&lt;&gt;"O",IF(UPPER($AM110)="2A",$AK110,""),""),""),IF(UPPER($K110)="2A",$AK110,""))</f>
      </c>
      <c r="I110" s="123">
        <f>IF(ISBLANK($H110),"",IF($H110="","",INDEX(TVALCAL,MATCH($AH110,TVALCAL_FILAS,),MATCH("Unidad",TVALCAL_CAMPOS,))))</f>
      </c>
      <c r="J110" s="378">
        <f>IF($AI110&lt;&gt;"O",INDEX(TANEXO,MATCH($AI110,TANEXO_TIPO,),MATCH("CAL_"&amp;$AG110,TANEXO_CAMPOS,)),"")</f>
      </c>
      <c r="K110" s="363"/>
      <c r="L110" s="20" t="s">
        <v>35</v>
      </c>
      <c r="M110" s="63">
        <f>IF($AN110="S",0,IF(ISBLANK($M111),IF($AI110&lt;&gt;"O",IF(UPPER($O110)="2A",$AJ110,IF(UPPER($P110)="2A",$AJ110,"")),""),""))</f>
      </c>
      <c r="N110" s="121">
        <f>IF(ISBLANK($M110),"",IF($M110=0,"",IF($M110="","","tCO2/TJ")))</f>
      </c>
      <c r="O110" s="360">
        <f>IF($AI110&lt;&gt;"O",INDEX(TANEXO,MATCH($AI110,TANEXO_TIPO,),MATCH("EMI_"&amp;$AG110,TANEXO_CAMPOS,)),"")</f>
      </c>
      <c r="P110" s="363"/>
      <c r="Q110" s="20" t="s">
        <v>36</v>
      </c>
      <c r="R110" s="64">
        <f>IF($T110=2,INDEX(TVALCAL,MATCH($AH110,TVALCAL_FILAS,),MATCH("FacOxi",TVALCAL_CAMPOS,)),IF($T110=3,"",IF($S110=1,1,"")))</f>
      </c>
      <c r="S110" s="378">
        <f>IF($AI110&lt;&gt;"O",INDEX(TANEXO,MATCH($AI110,TANEXO_TIPO,),MATCH("OXI_"&amp;$AG110,TANEXO_CAMPOS,)),"")</f>
      </c>
      <c r="T110" s="155"/>
      <c r="U110" s="387">
        <f>IF(ISERROR($AA113),0,$AA113)</f>
        <v>0</v>
      </c>
      <c r="AF110" s="130">
        <f>Inicio!$AA$1</f>
        <v>2</v>
      </c>
      <c r="AG110" s="129" t="str">
        <f>INDEX(TRANGO,MATCH($AF$8,TRANGO_FILAS,),MATCH("Tipo",TRANGO_CAMPOS,))</f>
        <v>B</v>
      </c>
      <c r="AH110" s="130">
        <v>1</v>
      </c>
      <c r="AI110" s="129" t="str">
        <f>INDEX(TVALCAL,MATCH($AH110,TVALCAL_FILAS,),MATCH("Tipo",TVALCAL_CAMPOS,))</f>
        <v>O</v>
      </c>
      <c r="AJ110" s="129">
        <f>IF($AN110="O","",INDEX(TVALCAL,MATCH($AH110,TVALCAL_FILAS,),MATCH("FacEmi",TVALCAL_CAMPOS,)))</f>
        <v>0</v>
      </c>
      <c r="AK110" s="129">
        <f>INDEX(TVALCAL,MATCH($AH110,TVALCAL_FILAS,),MATCH("V.C.N.",TVALCAL_CAMPOS,))</f>
        <v>0</v>
      </c>
      <c r="AL110" s="129" t="e">
        <f>INDEX(TANEXO,MATCH($AI110,TANEXO_TIPO,),MATCH("Id",TANEXO_CAMPOS,))</f>
        <v>#N/A</v>
      </c>
      <c r="AM110" s="129" t="e">
        <f>INDEX(TANEXO,MATCH($AI110,TANEXO_TIPO,),MATCH("CAL_"&amp;$AG110,TANEXO_CAMPOS,))</f>
        <v>#N/A</v>
      </c>
      <c r="AN110" s="129" t="str">
        <f>INDEX(TVALCAL,MATCH($AH110,TVALCAL_FILAS,),MATCH("EsBio",TVALCAL_CAMPOS,))</f>
        <v>N</v>
      </c>
      <c r="AO110" s="127">
        <f>INDEX(TVALCAL,MATCH($AH110,TVALCAL_FILAS,),MATCH("NoSelec",TVALCAL_CAMPOS,))</f>
        <v>0</v>
      </c>
      <c r="AP110" s="127">
        <f>INDEX(TVALCAL,MATCH($AH110,TVALCAL_FILAS,),MATCH("FacOxi",TVALCAL_CAMPOS,))</f>
        <v>0</v>
      </c>
    </row>
    <row r="111" spans="1:21" ht="15.75" customHeight="1">
      <c r="A111" s="379"/>
      <c r="B111" s="381"/>
      <c r="C111" s="391"/>
      <c r="D111" s="150"/>
      <c r="E111" s="361"/>
      <c r="F111" s="364"/>
      <c r="G111" s="20" t="s">
        <v>25</v>
      </c>
      <c r="H111" s="31"/>
      <c r="I111" s="122">
        <v>1</v>
      </c>
      <c r="J111" s="361"/>
      <c r="K111" s="364"/>
      <c r="L111" s="20" t="s">
        <v>37</v>
      </c>
      <c r="M111" s="240"/>
      <c r="N111" s="116">
        <v>1</v>
      </c>
      <c r="O111" s="361"/>
      <c r="P111" s="364"/>
      <c r="Q111" s="20" t="s">
        <v>38</v>
      </c>
      <c r="R111" s="239"/>
      <c r="S111" s="384"/>
      <c r="T111" s="162"/>
      <c r="U111" s="388"/>
    </row>
    <row r="112" spans="1:21" ht="12.75">
      <c r="A112" s="380"/>
      <c r="B112" s="21" t="s">
        <v>21</v>
      </c>
      <c r="C112" s="238"/>
      <c r="D112" s="126">
        <f>IF(ISBLANK(C112),"","TJ")</f>
      </c>
      <c r="E112" s="362"/>
      <c r="F112" s="365"/>
      <c r="G112" s="13"/>
      <c r="H112" s="13"/>
      <c r="I112" s="13"/>
      <c r="J112" s="362"/>
      <c r="K112" s="365"/>
      <c r="L112" s="22"/>
      <c r="M112" s="22"/>
      <c r="N112" s="22"/>
      <c r="O112" s="362"/>
      <c r="P112" s="365"/>
      <c r="Q112" s="22"/>
      <c r="R112" s="22"/>
      <c r="S112" s="385"/>
      <c r="T112" s="162"/>
      <c r="U112" s="389"/>
    </row>
    <row r="113" spans="1:28" ht="12.75">
      <c r="A113" s="103"/>
      <c r="B113" s="103"/>
      <c r="C113" s="104"/>
      <c r="D113" s="104"/>
      <c r="E113" s="111"/>
      <c r="F113" s="103"/>
      <c r="G113" s="103"/>
      <c r="H113" s="265">
        <f>Y114</f>
      </c>
      <c r="I113" s="104"/>
      <c r="J113" s="111"/>
      <c r="K113" s="103"/>
      <c r="L113" s="103"/>
      <c r="M113" s="104"/>
      <c r="N113" s="104"/>
      <c r="O113" s="111"/>
      <c r="P113" s="103"/>
      <c r="Q113" s="103"/>
      <c r="R113" s="104"/>
      <c r="S113" s="72"/>
      <c r="T113" s="163"/>
      <c r="U113" s="104"/>
      <c r="V113" s="125"/>
      <c r="W113" s="127">
        <f>IF(ISBLANK($C110),$C112,IF(ISBLANK($C112),$C110,""))</f>
        <v>0</v>
      </c>
      <c r="X113" s="72">
        <f>IF(ISBLANK($H111),$H110,$H111)</f>
      </c>
      <c r="Y113" s="72">
        <f>IF(ISBLANK($M111),$M110,$M111)</f>
      </c>
      <c r="Z113" s="127">
        <f>IF(ISBLANK($R111),$R110,$R111)</f>
      </c>
      <c r="AA113" s="127" t="e">
        <f>$Z113*IF(ISBLANK($C112),$X113,1)*$Y113*$W113</f>
        <v>#VALUE!</v>
      </c>
      <c r="AB113" s="127">
        <f>IF(ISERROR($AA113),"",$AA113)</f>
      </c>
    </row>
    <row r="114" spans="1:25" ht="12.75">
      <c r="A114" s="13"/>
      <c r="B114" s="13"/>
      <c r="C114" s="265">
        <f>X114</f>
      </c>
      <c r="D114" s="13"/>
      <c r="E114" s="112"/>
      <c r="F114" s="13"/>
      <c r="G114" s="13"/>
      <c r="H114" s="13"/>
      <c r="I114" s="13"/>
      <c r="J114" s="112"/>
      <c r="K114" s="265">
        <f>W114</f>
      </c>
      <c r="L114" s="13"/>
      <c r="M114" s="13"/>
      <c r="N114" s="13"/>
      <c r="O114" s="112"/>
      <c r="P114" s="13"/>
      <c r="Q114" s="13"/>
      <c r="R114" s="13"/>
      <c r="W114" s="12">
        <f>IF($AO110="2b",IF(UPPER(K$96)="2B","No se permite 2b",""),"")</f>
      </c>
      <c r="X114" s="12">
        <f>IF($AO110="2b",IF($C112&lt;&gt;"","No se permite introducir valor",""),"")</f>
      </c>
      <c r="Y114" s="12">
        <f>IF(AND(D110=3,I111&lt;&gt;3),IF(AH110=2,"Las unidades de V.C.N deben ser TJ/t (Valor inventario 0.04866 TJ/t)","Las unidades de V.C.N deben ser TJ/t"),IF(AND(D110=2,I111&lt;&gt;2),"Las unidades de V.C.N deben ser TJ/m3",""))</f>
      </c>
    </row>
    <row r="115" spans="1:21" ht="12.75">
      <c r="A115" s="382" t="s">
        <v>364</v>
      </c>
      <c r="B115" s="13"/>
      <c r="C115" s="369" t="s">
        <v>33</v>
      </c>
      <c r="D115" s="375"/>
      <c r="E115" s="375"/>
      <c r="F115" s="375"/>
      <c r="G115" s="375"/>
      <c r="H115" s="375"/>
      <c r="I115" s="375"/>
      <c r="J115" s="375"/>
      <c r="K115" s="356"/>
      <c r="M115" s="369" t="s">
        <v>144</v>
      </c>
      <c r="N115" s="370"/>
      <c r="O115" s="370"/>
      <c r="P115" s="371"/>
      <c r="Q115" s="13"/>
      <c r="R115" s="369" t="s">
        <v>99</v>
      </c>
      <c r="S115" s="383"/>
      <c r="T115" s="383"/>
      <c r="U115" s="38" t="s">
        <v>96</v>
      </c>
    </row>
    <row r="116" spans="1:42" ht="40.5">
      <c r="A116" s="382"/>
      <c r="B116" s="13"/>
      <c r="C116" s="358" t="s">
        <v>245</v>
      </c>
      <c r="D116" s="359">
        <v>1</v>
      </c>
      <c r="E116" s="355" t="s">
        <v>251</v>
      </c>
      <c r="F116" s="356"/>
      <c r="G116" s="36"/>
      <c r="H116" s="118" t="s">
        <v>247</v>
      </c>
      <c r="I116" s="124"/>
      <c r="J116" s="355" t="s">
        <v>248</v>
      </c>
      <c r="K116" s="357"/>
      <c r="L116" s="18"/>
      <c r="M116" s="358" t="s">
        <v>249</v>
      </c>
      <c r="N116" s="359"/>
      <c r="O116" s="355" t="s">
        <v>248</v>
      </c>
      <c r="P116" s="357"/>
      <c r="Q116" s="18"/>
      <c r="R116" s="37" t="s">
        <v>250</v>
      </c>
      <c r="S116" s="355" t="s">
        <v>248</v>
      </c>
      <c r="T116" s="357"/>
      <c r="U116" s="39" t="s">
        <v>97</v>
      </c>
      <c r="AF116" s="128" t="s">
        <v>53</v>
      </c>
      <c r="AG116" s="128" t="s">
        <v>54</v>
      </c>
      <c r="AH116" s="128" t="s">
        <v>55</v>
      </c>
      <c r="AI116" s="128" t="s">
        <v>28</v>
      </c>
      <c r="AJ116" s="128" t="s">
        <v>56</v>
      </c>
      <c r="AK116" s="128" t="s">
        <v>67</v>
      </c>
      <c r="AL116" s="129" t="s">
        <v>29</v>
      </c>
      <c r="AM116" s="128" t="s">
        <v>30</v>
      </c>
      <c r="AN116" s="128" t="s">
        <v>147</v>
      </c>
      <c r="AO116" s="127" t="s">
        <v>252</v>
      </c>
      <c r="AP116" s="127" t="s">
        <v>254</v>
      </c>
    </row>
    <row r="117" spans="1:42" ht="12.75">
      <c r="A117" s="19"/>
      <c r="B117" s="381" t="s">
        <v>20</v>
      </c>
      <c r="C117" s="390"/>
      <c r="D117" s="151">
        <v>1</v>
      </c>
      <c r="E117" s="378">
        <f>IF($AI117&lt;&gt;"O",INDEX(TANEXO,MATCH($AI117,TANEXO_TIPO,),MATCH("ACT_"&amp;$AG117,TANEXO_CAMPOS,)),"")</f>
      </c>
      <c r="F117" s="363"/>
      <c r="G117" s="20" t="s">
        <v>22</v>
      </c>
      <c r="H117" s="117">
        <f>IF($K117="",IF(ISBLANK($H118),IF($AI117&lt;&gt;"O",IF(UPPER($AM117)="2A",$AK117,""),""),""),IF(UPPER($K117)="2A",$AK117,""))</f>
      </c>
      <c r="I117" s="123">
        <f>IF(ISBLANK($H117),"",IF($H117="","",INDEX(TVALCAL,MATCH($AH117,TVALCAL_FILAS,),MATCH("Unidad",TVALCAL_CAMPOS,))))</f>
      </c>
      <c r="J117" s="378">
        <f>IF($AI117&lt;&gt;"O",INDEX(TANEXO,MATCH($AI117,TANEXO_TIPO,),MATCH("CAL_"&amp;$AG117,TANEXO_CAMPOS,)),"")</f>
      </c>
      <c r="K117" s="363"/>
      <c r="L117" s="20" t="s">
        <v>35</v>
      </c>
      <c r="M117" s="63">
        <f>IF($AN117="S",0,IF(ISBLANK($M118),IF($AI117&lt;&gt;"O",IF(UPPER($O117)="2A",$AJ117,IF(UPPER($P117)="2A",$AJ117,"")),""),""))</f>
      </c>
      <c r="N117" s="121">
        <f>IF(ISBLANK($M117),"",IF($M117=0,"",IF($M117="","","tCO2/TJ")))</f>
      </c>
      <c r="O117" s="360">
        <f>IF($AI117&lt;&gt;"O",INDEX(TANEXO,MATCH($AI117,TANEXO_TIPO,),MATCH("EMI_"&amp;$AG117,TANEXO_CAMPOS,)),"")</f>
      </c>
      <c r="P117" s="363"/>
      <c r="Q117" s="20" t="s">
        <v>36</v>
      </c>
      <c r="R117" s="64">
        <f>IF($T117=2,INDEX(TVALCAL,MATCH($AH117,TVALCAL_FILAS,),MATCH("FacOxi",TVALCAL_CAMPOS,)),IF($T117=3,"",IF($S117=1,1,"")))</f>
      </c>
      <c r="S117" s="378">
        <f>IF($AI117&lt;&gt;"O",INDEX(TANEXO,MATCH($AI117,TANEXO_TIPO,),MATCH("OXI_"&amp;$AG117,TANEXO_CAMPOS,)),"")</f>
      </c>
      <c r="T117" s="155"/>
      <c r="U117" s="387">
        <f>IF(ISERROR($AA121),0,$AA121)</f>
        <v>0</v>
      </c>
      <c r="AF117" s="130">
        <f>Inicio!$AA$1</f>
        <v>2</v>
      </c>
      <c r="AG117" s="129" t="str">
        <f>INDEX(TRANGO,MATCH($AF$8,TRANGO_FILAS,),MATCH("Tipo",TRANGO_CAMPOS,))</f>
        <v>B</v>
      </c>
      <c r="AH117" s="130">
        <v>1</v>
      </c>
      <c r="AI117" s="129" t="str">
        <f>INDEX(TVALCAL,MATCH($AH117,TVALCAL_FILAS,),MATCH("Tipo",TVALCAL_CAMPOS,))</f>
        <v>O</v>
      </c>
      <c r="AJ117" s="129">
        <f>IF($AN117="O","",INDEX(TVALCAL,MATCH($AH117,TVALCAL_FILAS,),MATCH("FacEmi",TVALCAL_CAMPOS,)))</f>
        <v>0</v>
      </c>
      <c r="AK117" s="129">
        <f>INDEX(TVALCAL,MATCH($AH117,TVALCAL_FILAS,),MATCH("V.C.N.",TVALCAL_CAMPOS,))</f>
        <v>0</v>
      </c>
      <c r="AL117" s="129" t="e">
        <f>INDEX(TANEXO,MATCH($AI117,TANEXO_TIPO,),MATCH("Id",TANEXO_CAMPOS,))</f>
        <v>#N/A</v>
      </c>
      <c r="AM117" s="129" t="e">
        <f>INDEX(TANEXO,MATCH($AI117,TANEXO_TIPO,),MATCH("CAL_"&amp;$AG117,TANEXO_CAMPOS,))</f>
        <v>#N/A</v>
      </c>
      <c r="AN117" s="129" t="str">
        <f>INDEX(TVALCAL,MATCH($AH117,TVALCAL_FILAS,),MATCH("EsBio",TVALCAL_CAMPOS,))</f>
        <v>N</v>
      </c>
      <c r="AO117" s="127">
        <f>INDEX(TVALCAL,MATCH($AH117,TVALCAL_FILAS,),MATCH("NoSelec",TVALCAL_CAMPOS,))</f>
        <v>0</v>
      </c>
      <c r="AP117" s="127">
        <f>INDEX(TVALCAL,MATCH($AH117,TVALCAL_FILAS,),MATCH("FacOxi",TVALCAL_CAMPOS,))</f>
        <v>0</v>
      </c>
    </row>
    <row r="118" spans="1:21" ht="15.75" customHeight="1">
      <c r="A118" s="379"/>
      <c r="B118" s="381"/>
      <c r="C118" s="391"/>
      <c r="D118" s="150"/>
      <c r="E118" s="361"/>
      <c r="F118" s="364"/>
      <c r="G118" s="20" t="s">
        <v>25</v>
      </c>
      <c r="H118" s="31"/>
      <c r="I118" s="122">
        <v>1</v>
      </c>
      <c r="J118" s="361"/>
      <c r="K118" s="364"/>
      <c r="L118" s="20" t="s">
        <v>37</v>
      </c>
      <c r="M118" s="240"/>
      <c r="N118" s="116">
        <v>1</v>
      </c>
      <c r="O118" s="361"/>
      <c r="P118" s="364"/>
      <c r="Q118" s="20" t="s">
        <v>38</v>
      </c>
      <c r="R118" s="239"/>
      <c r="S118" s="384"/>
      <c r="T118" s="162"/>
      <c r="U118" s="388"/>
    </row>
    <row r="119" spans="1:21" ht="12.75">
      <c r="A119" s="380"/>
      <c r="B119" s="21" t="s">
        <v>21</v>
      </c>
      <c r="C119" s="238"/>
      <c r="D119" s="126">
        <f>IF(ISBLANK(C119),"","TJ")</f>
      </c>
      <c r="E119" s="362"/>
      <c r="F119" s="365"/>
      <c r="G119" s="13"/>
      <c r="H119" s="13"/>
      <c r="I119" s="13"/>
      <c r="J119" s="362"/>
      <c r="K119" s="365"/>
      <c r="L119" s="22"/>
      <c r="M119" s="22"/>
      <c r="N119" s="22"/>
      <c r="O119" s="362"/>
      <c r="P119" s="365"/>
      <c r="Q119" s="22"/>
      <c r="R119" s="22"/>
      <c r="S119" s="385"/>
      <c r="T119" s="162"/>
      <c r="U119" s="389"/>
    </row>
    <row r="120" spans="1:18" ht="12.75">
      <c r="A120" s="13"/>
      <c r="B120" s="13"/>
      <c r="C120" s="265"/>
      <c r="D120" s="13"/>
      <c r="E120" s="112"/>
      <c r="F120" s="13"/>
      <c r="G120" s="13"/>
      <c r="H120" s="265">
        <f>Y121</f>
      </c>
      <c r="I120" s="13"/>
      <c r="J120" s="112"/>
      <c r="K120" s="265"/>
      <c r="L120" s="13"/>
      <c r="M120" s="13"/>
      <c r="N120" s="13"/>
      <c r="O120" s="112"/>
      <c r="P120" s="13"/>
      <c r="Q120" s="13"/>
      <c r="R120" s="13"/>
    </row>
    <row r="121" spans="1:27" ht="12.75">
      <c r="A121" s="13"/>
      <c r="B121" s="13"/>
      <c r="C121" s="265"/>
      <c r="D121" s="13"/>
      <c r="E121" s="112"/>
      <c r="F121" s="13"/>
      <c r="G121" s="13"/>
      <c r="H121" s="13"/>
      <c r="I121" s="13"/>
      <c r="J121" s="112"/>
      <c r="K121" s="265"/>
      <c r="L121" s="13"/>
      <c r="M121" s="13"/>
      <c r="N121" s="13"/>
      <c r="O121" s="112"/>
      <c r="P121" s="13"/>
      <c r="Q121" s="13"/>
      <c r="R121" s="13"/>
      <c r="W121" s="127">
        <f>IF(ISBLANK($C117),$C119,IF(ISBLANK($C119),$C117,""))</f>
        <v>0</v>
      </c>
      <c r="Y121" s="12">
        <f>IF(AND(D117=3,I118&lt;&gt;3),IF(AH117=2,"Las unidades de V.C.N deben ser TJ/t (Valor inventario 0.04866 TJ/t)","Las unidades de V.C.N deben ser TJ/t"),IF(AND(D117=2,I118&lt;&gt;2),"Las unidades de V.C.N deben ser TJ/m3",""))</f>
      </c>
      <c r="Z121" s="127">
        <f>IF(ISBLANK($R118),$R117,$R118)</f>
      </c>
      <c r="AA121" s="127" t="e">
        <f>$Z121*IF(ISBLANK($C120),$X121,1)*$Y121*$W121</f>
        <v>#VALUE!</v>
      </c>
    </row>
    <row r="122" spans="1:21" ht="12.75">
      <c r="A122" s="13"/>
      <c r="B122" s="13"/>
      <c r="C122" s="13"/>
      <c r="D122" s="13"/>
      <c r="E122" s="112"/>
      <c r="F122" s="13"/>
      <c r="G122" s="13"/>
      <c r="H122" s="13"/>
      <c r="I122" s="13"/>
      <c r="J122" s="112"/>
      <c r="K122" s="13"/>
      <c r="L122" s="13"/>
      <c r="M122" s="13"/>
      <c r="N122" s="13"/>
      <c r="O122" s="112"/>
      <c r="P122" s="13"/>
      <c r="Q122" s="13"/>
      <c r="R122" s="13"/>
      <c r="U122" s="105"/>
    </row>
    <row r="123" spans="1:23" ht="12.75">
      <c r="A123" s="13"/>
      <c r="B123" s="13"/>
      <c r="C123" s="13"/>
      <c r="D123" s="13"/>
      <c r="E123" s="112"/>
      <c r="F123" s="13"/>
      <c r="G123" s="13"/>
      <c r="H123" s="13"/>
      <c r="I123" s="13"/>
      <c r="J123" s="112"/>
      <c r="K123" s="13"/>
      <c r="L123" s="13"/>
      <c r="M123" s="13"/>
      <c r="N123" s="13"/>
      <c r="O123" s="112"/>
      <c r="P123" s="13"/>
      <c r="Q123" s="13"/>
      <c r="R123" s="386" t="s">
        <v>100</v>
      </c>
      <c r="S123" s="375"/>
      <c r="T123" s="375"/>
      <c r="U123" s="131">
        <f>ROUND($W123,3)</f>
        <v>0</v>
      </c>
      <c r="W123" s="12">
        <f>IF(ISERROR($AA71),0,$AA71)+IF(ISERROR($AA78),0,$AA78)+IF(ISERROR($AA85),0,$AA85)+IF(ISERROR($AA92),0,$AA92)+IF(ISERROR($AA99),0,$AA99)+IF(ISERROR($AA106),0,$AA106)+IF(ISERROR($AA113),0,$AA113)+IF(ISERROR($AA121),0,$AA121)</f>
        <v>0</v>
      </c>
    </row>
    <row r="124" spans="1:17" ht="12.75">
      <c r="A124" s="13"/>
      <c r="B124" s="13"/>
      <c r="C124" s="13"/>
      <c r="D124" s="13"/>
      <c r="E124" s="112"/>
      <c r="F124" s="13"/>
      <c r="G124" s="13"/>
      <c r="H124" s="13"/>
      <c r="I124" s="13"/>
      <c r="J124" s="112"/>
      <c r="K124" s="13"/>
      <c r="L124" s="13"/>
      <c r="M124" s="13"/>
      <c r="N124" s="13"/>
      <c r="O124" s="112"/>
      <c r="P124" s="13"/>
      <c r="Q124" s="13"/>
    </row>
    <row r="126" spans="3:9" ht="12.75">
      <c r="C126" s="374" t="s">
        <v>101</v>
      </c>
      <c r="D126" s="375"/>
      <c r="E126" s="375"/>
      <c r="F126" s="375"/>
      <c r="G126" s="356"/>
      <c r="H126" s="372">
        <f>X63+W123</f>
        <v>0</v>
      </c>
      <c r="I126" s="373"/>
    </row>
    <row r="127" spans="13:18" ht="12.75">
      <c r="M127" s="114"/>
      <c r="N127" s="114"/>
      <c r="O127" s="115"/>
      <c r="P127" s="115"/>
      <c r="Q127" s="40"/>
      <c r="R127" s="40"/>
    </row>
  </sheetData>
  <sheetProtection password="D51C" sheet="1" objects="1" scenarios="1"/>
  <mergeCells count="342">
    <mergeCell ref="K117:K119"/>
    <mergeCell ref="O117:O119"/>
    <mergeCell ref="P117:P119"/>
    <mergeCell ref="S117:S119"/>
    <mergeCell ref="U117:U119"/>
    <mergeCell ref="A118:A119"/>
    <mergeCell ref="E116:F116"/>
    <mergeCell ref="J116:K116"/>
    <mergeCell ref="M116:N116"/>
    <mergeCell ref="O116:P116"/>
    <mergeCell ref="S116:T116"/>
    <mergeCell ref="B117:B118"/>
    <mergeCell ref="C117:C118"/>
    <mergeCell ref="E117:E119"/>
    <mergeCell ref="F117:F119"/>
    <mergeCell ref="J117:J119"/>
    <mergeCell ref="O110:O112"/>
    <mergeCell ref="P110:P112"/>
    <mergeCell ref="S110:S112"/>
    <mergeCell ref="U110:U112"/>
    <mergeCell ref="A111:A112"/>
    <mergeCell ref="A115:A116"/>
    <mergeCell ref="C115:K115"/>
    <mergeCell ref="M115:P115"/>
    <mergeCell ref="R115:T115"/>
    <mergeCell ref="C116:D116"/>
    <mergeCell ref="B110:B111"/>
    <mergeCell ref="C110:C111"/>
    <mergeCell ref="E110:E112"/>
    <mergeCell ref="F110:F112"/>
    <mergeCell ref="J110:J112"/>
    <mergeCell ref="K110:K112"/>
    <mergeCell ref="A108:A109"/>
    <mergeCell ref="C108:K108"/>
    <mergeCell ref="M108:P108"/>
    <mergeCell ref="R108:T108"/>
    <mergeCell ref="C109:D109"/>
    <mergeCell ref="E109:F109"/>
    <mergeCell ref="J109:K109"/>
    <mergeCell ref="M109:N109"/>
    <mergeCell ref="O109:P109"/>
    <mergeCell ref="S109:T109"/>
    <mergeCell ref="K103:K105"/>
    <mergeCell ref="O103:O105"/>
    <mergeCell ref="P103:P105"/>
    <mergeCell ref="S103:S105"/>
    <mergeCell ref="U103:U105"/>
    <mergeCell ref="A104:A105"/>
    <mergeCell ref="E102:F102"/>
    <mergeCell ref="J102:K102"/>
    <mergeCell ref="M102:N102"/>
    <mergeCell ref="O102:P102"/>
    <mergeCell ref="S102:T102"/>
    <mergeCell ref="B103:B104"/>
    <mergeCell ref="C103:C104"/>
    <mergeCell ref="E103:E105"/>
    <mergeCell ref="F103:F105"/>
    <mergeCell ref="J103:J105"/>
    <mergeCell ref="O57:O59"/>
    <mergeCell ref="P57:P59"/>
    <mergeCell ref="S57:S59"/>
    <mergeCell ref="U57:U59"/>
    <mergeCell ref="A58:A59"/>
    <mergeCell ref="A101:A102"/>
    <mergeCell ref="C101:K101"/>
    <mergeCell ref="M101:P101"/>
    <mergeCell ref="R101:T101"/>
    <mergeCell ref="C102:D102"/>
    <mergeCell ref="J56:K56"/>
    <mergeCell ref="M56:N56"/>
    <mergeCell ref="O56:P56"/>
    <mergeCell ref="S56:T56"/>
    <mergeCell ref="B57:B58"/>
    <mergeCell ref="C57:C58"/>
    <mergeCell ref="E57:E59"/>
    <mergeCell ref="F57:F59"/>
    <mergeCell ref="J57:J59"/>
    <mergeCell ref="K57:K59"/>
    <mergeCell ref="P50:P52"/>
    <mergeCell ref="S50:S52"/>
    <mergeCell ref="U50:U52"/>
    <mergeCell ref="A51:A52"/>
    <mergeCell ref="A55:A56"/>
    <mergeCell ref="C55:K55"/>
    <mergeCell ref="M55:P55"/>
    <mergeCell ref="R55:T55"/>
    <mergeCell ref="C56:D56"/>
    <mergeCell ref="E56:F56"/>
    <mergeCell ref="M49:N49"/>
    <mergeCell ref="O49:P49"/>
    <mergeCell ref="S49:T49"/>
    <mergeCell ref="B50:B51"/>
    <mergeCell ref="C50:C51"/>
    <mergeCell ref="E50:E52"/>
    <mergeCell ref="F50:F52"/>
    <mergeCell ref="J50:J52"/>
    <mergeCell ref="K50:K52"/>
    <mergeCell ref="O50:O52"/>
    <mergeCell ref="S43:S45"/>
    <mergeCell ref="U43:U45"/>
    <mergeCell ref="A44:A45"/>
    <mergeCell ref="A48:A49"/>
    <mergeCell ref="C48:K48"/>
    <mergeCell ref="M48:P48"/>
    <mergeCell ref="R48:T48"/>
    <mergeCell ref="C49:D49"/>
    <mergeCell ref="E49:F49"/>
    <mergeCell ref="J49:K49"/>
    <mergeCell ref="B43:B44"/>
    <mergeCell ref="C43:C44"/>
    <mergeCell ref="E43:E45"/>
    <mergeCell ref="F43:F45"/>
    <mergeCell ref="J43:J45"/>
    <mergeCell ref="K43:K45"/>
    <mergeCell ref="A41:A42"/>
    <mergeCell ref="C41:K41"/>
    <mergeCell ref="M41:P41"/>
    <mergeCell ref="R41:T41"/>
    <mergeCell ref="C42:D42"/>
    <mergeCell ref="E42:F42"/>
    <mergeCell ref="J42:K42"/>
    <mergeCell ref="M42:N42"/>
    <mergeCell ref="O42:P42"/>
    <mergeCell ref="S42:T42"/>
    <mergeCell ref="J89:J91"/>
    <mergeCell ref="C81:D81"/>
    <mergeCell ref="K82:K84"/>
    <mergeCell ref="C5:U5"/>
    <mergeCell ref="C65:U65"/>
    <mergeCell ref="J68:J70"/>
    <mergeCell ref="C73:K73"/>
    <mergeCell ref="U36:U38"/>
    <mergeCell ref="S36:S38"/>
    <mergeCell ref="M20:P20"/>
    <mergeCell ref="U96:U98"/>
    <mergeCell ref="U89:U91"/>
    <mergeCell ref="K89:K91"/>
    <mergeCell ref="O89:O91"/>
    <mergeCell ref="P89:P91"/>
    <mergeCell ref="O96:O98"/>
    <mergeCell ref="P96:P98"/>
    <mergeCell ref="M94:P94"/>
    <mergeCell ref="O95:P95"/>
    <mergeCell ref="C94:K94"/>
    <mergeCell ref="A83:A84"/>
    <mergeCell ref="M95:N95"/>
    <mergeCell ref="B96:B97"/>
    <mergeCell ref="C89:C90"/>
    <mergeCell ref="C96:C97"/>
    <mergeCell ref="E96:E98"/>
    <mergeCell ref="F96:F98"/>
    <mergeCell ref="J96:J98"/>
    <mergeCell ref="K96:K98"/>
    <mergeCell ref="J95:K95"/>
    <mergeCell ref="A94:A95"/>
    <mergeCell ref="B89:B90"/>
    <mergeCell ref="F89:F91"/>
    <mergeCell ref="E89:E91"/>
    <mergeCell ref="A90:A91"/>
    <mergeCell ref="C95:D95"/>
    <mergeCell ref="B36:B37"/>
    <mergeCell ref="J36:J38"/>
    <mergeCell ref="U82:U84"/>
    <mergeCell ref="B82:B83"/>
    <mergeCell ref="F82:F84"/>
    <mergeCell ref="C82:C83"/>
    <mergeCell ref="E82:E84"/>
    <mergeCell ref="S82:S84"/>
    <mergeCell ref="J82:J84"/>
    <mergeCell ref="B75:B76"/>
    <mergeCell ref="B22:B23"/>
    <mergeCell ref="C22:C23"/>
    <mergeCell ref="C27:K27"/>
    <mergeCell ref="F22:F24"/>
    <mergeCell ref="J22:J24"/>
    <mergeCell ref="K22:K24"/>
    <mergeCell ref="E22:E24"/>
    <mergeCell ref="B29:B30"/>
    <mergeCell ref="U75:U77"/>
    <mergeCell ref="O75:O77"/>
    <mergeCell ref="P75:P77"/>
    <mergeCell ref="S75:S77"/>
    <mergeCell ref="B68:B69"/>
    <mergeCell ref="K68:K70"/>
    <mergeCell ref="E36:E38"/>
    <mergeCell ref="C68:C69"/>
    <mergeCell ref="F68:F70"/>
    <mergeCell ref="C75:C76"/>
    <mergeCell ref="E75:E77"/>
    <mergeCell ref="F75:F77"/>
    <mergeCell ref="J75:J77"/>
    <mergeCell ref="C14:D14"/>
    <mergeCell ref="E68:E70"/>
    <mergeCell ref="C15:C16"/>
    <mergeCell ref="E15:E17"/>
    <mergeCell ref="E28:F28"/>
    <mergeCell ref="J28:K28"/>
    <mergeCell ref="U68:U70"/>
    <mergeCell ref="K36:K38"/>
    <mergeCell ref="U29:U31"/>
    <mergeCell ref="J21:K21"/>
    <mergeCell ref="M28:N28"/>
    <mergeCell ref="S28:T28"/>
    <mergeCell ref="S22:S24"/>
    <mergeCell ref="R27:T27"/>
    <mergeCell ref="O36:O38"/>
    <mergeCell ref="O35:P35"/>
    <mergeCell ref="U8:U10"/>
    <mergeCell ref="F8:F10"/>
    <mergeCell ref="P8:P10"/>
    <mergeCell ref="K8:K10"/>
    <mergeCell ref="O8:O10"/>
    <mergeCell ref="U22:U24"/>
    <mergeCell ref="U15:U17"/>
    <mergeCell ref="F15:F17"/>
    <mergeCell ref="K15:K17"/>
    <mergeCell ref="O15:O17"/>
    <mergeCell ref="A6:A7"/>
    <mergeCell ref="A13:A14"/>
    <mergeCell ref="B8:B9"/>
    <mergeCell ref="E8:E10"/>
    <mergeCell ref="E7:F7"/>
    <mergeCell ref="C6:K6"/>
    <mergeCell ref="J7:K7"/>
    <mergeCell ref="J8:J10"/>
    <mergeCell ref="C7:D7"/>
    <mergeCell ref="C13:K13"/>
    <mergeCell ref="R6:T6"/>
    <mergeCell ref="S8:S10"/>
    <mergeCell ref="R13:T13"/>
    <mergeCell ref="S7:T7"/>
    <mergeCell ref="M6:P6"/>
    <mergeCell ref="S14:T14"/>
    <mergeCell ref="M14:N14"/>
    <mergeCell ref="O7:P7"/>
    <mergeCell ref="M7:N7"/>
    <mergeCell ref="M13:P13"/>
    <mergeCell ref="R123:T123"/>
    <mergeCell ref="S89:S91"/>
    <mergeCell ref="S96:S98"/>
    <mergeCell ref="R94:T94"/>
    <mergeCell ref="S95:T95"/>
    <mergeCell ref="E14:F14"/>
    <mergeCell ref="J14:K14"/>
    <mergeCell ref="S35:T35"/>
    <mergeCell ref="R34:T34"/>
    <mergeCell ref="R20:T20"/>
    <mergeCell ref="A73:A74"/>
    <mergeCell ref="A27:A28"/>
    <mergeCell ref="J15:J17"/>
    <mergeCell ref="C21:D21"/>
    <mergeCell ref="C28:D28"/>
    <mergeCell ref="E67:F67"/>
    <mergeCell ref="J67:K67"/>
    <mergeCell ref="C74:D74"/>
    <mergeCell ref="C20:K20"/>
    <mergeCell ref="A23:A24"/>
    <mergeCell ref="S68:S70"/>
    <mergeCell ref="S67:T67"/>
    <mergeCell ref="A66:A67"/>
    <mergeCell ref="A34:A35"/>
    <mergeCell ref="A30:A31"/>
    <mergeCell ref="E35:F35"/>
    <mergeCell ref="C35:D35"/>
    <mergeCell ref="C66:K66"/>
    <mergeCell ref="F36:F38"/>
    <mergeCell ref="J35:K35"/>
    <mergeCell ref="S15:S17"/>
    <mergeCell ref="M66:P66"/>
    <mergeCell ref="R66:T66"/>
    <mergeCell ref="R63:T63"/>
    <mergeCell ref="S29:S31"/>
    <mergeCell ref="P29:P31"/>
    <mergeCell ref="P36:P38"/>
    <mergeCell ref="S21:T21"/>
    <mergeCell ref="M35:N35"/>
    <mergeCell ref="M27:P27"/>
    <mergeCell ref="R73:T73"/>
    <mergeCell ref="E74:F74"/>
    <mergeCell ref="J74:K74"/>
    <mergeCell ref="S74:T74"/>
    <mergeCell ref="M74:N74"/>
    <mergeCell ref="O74:P74"/>
    <mergeCell ref="M73:P73"/>
    <mergeCell ref="R80:T80"/>
    <mergeCell ref="E81:F81"/>
    <mergeCell ref="J81:K81"/>
    <mergeCell ref="S81:T81"/>
    <mergeCell ref="M81:N81"/>
    <mergeCell ref="O81:P81"/>
    <mergeCell ref="M80:P80"/>
    <mergeCell ref="C80:K80"/>
    <mergeCell ref="A97:A98"/>
    <mergeCell ref="A80:A81"/>
    <mergeCell ref="R87:T87"/>
    <mergeCell ref="E88:F88"/>
    <mergeCell ref="J88:K88"/>
    <mergeCell ref="S88:T88"/>
    <mergeCell ref="C87:K87"/>
    <mergeCell ref="M87:P87"/>
    <mergeCell ref="C88:D88"/>
    <mergeCell ref="M88:N88"/>
    <mergeCell ref="A9:A10"/>
    <mergeCell ref="A16:A17"/>
    <mergeCell ref="E95:F95"/>
    <mergeCell ref="C8:C9"/>
    <mergeCell ref="A37:A38"/>
    <mergeCell ref="A76:A77"/>
    <mergeCell ref="B15:B16"/>
    <mergeCell ref="A87:A88"/>
    <mergeCell ref="A20:A21"/>
    <mergeCell ref="A69:A70"/>
    <mergeCell ref="H126:I126"/>
    <mergeCell ref="C126:G126"/>
    <mergeCell ref="C29:C30"/>
    <mergeCell ref="C34:K34"/>
    <mergeCell ref="K29:K31"/>
    <mergeCell ref="J29:J31"/>
    <mergeCell ref="E29:E31"/>
    <mergeCell ref="F29:F31"/>
    <mergeCell ref="C36:C37"/>
    <mergeCell ref="C67:D67"/>
    <mergeCell ref="O14:P14"/>
    <mergeCell ref="O21:P21"/>
    <mergeCell ref="O28:P28"/>
    <mergeCell ref="O67:P67"/>
    <mergeCell ref="O68:O70"/>
    <mergeCell ref="P68:P70"/>
    <mergeCell ref="P15:P17"/>
    <mergeCell ref="M34:P34"/>
    <mergeCell ref="O22:O24"/>
    <mergeCell ref="P22:P24"/>
    <mergeCell ref="E21:F21"/>
    <mergeCell ref="O88:P88"/>
    <mergeCell ref="M67:N67"/>
    <mergeCell ref="O82:O84"/>
    <mergeCell ref="P82:P84"/>
    <mergeCell ref="O29:O31"/>
    <mergeCell ref="M21:N21"/>
    <mergeCell ref="K75:K77"/>
    <mergeCell ref="O43:O45"/>
    <mergeCell ref="P43:P45"/>
  </mergeCells>
  <conditionalFormatting sqref="R89 H75:I75 H89:I89 N96 H82:I82 N89 R82 H96:I96 N68 H68:I68 N75 R96 N82 R68 R75 H8:I8 R8 N8 H15:I15 H22:I22 H29:I29 H36:I36 R15 R22 R29 R36 N15 N22 N29 N36 H43:I43 R43 N43 H50:I50 R50 N50 H57:I57 R57 N57 N103 H103:I103 R103 N110 H110:I110 R110 N117 H117:I117 R117">
    <cfRule type="cellIs" priority="25" dxfId="24" operator="equal" stopIfTrue="1">
      <formula>0</formula>
    </cfRule>
  </conditionalFormatting>
  <conditionalFormatting sqref="M16 M90 M83">
    <cfRule type="expression" priority="26" dxfId="2" stopIfTrue="1">
      <formula>IF($AN15="S",TRUE,FALSE)</formula>
    </cfRule>
  </conditionalFormatting>
  <conditionalFormatting sqref="K8:K10 K15:K17 K29:K31 K68:K70 K75:K77 K82:K84 K89:K91 K36 K96">
    <cfRule type="expression" priority="27" dxfId="0" stopIfTrue="1">
      <formula>$K12&lt;&gt;""</formula>
    </cfRule>
  </conditionalFormatting>
  <conditionalFormatting sqref="K22:K24">
    <cfRule type="expression" priority="28" dxfId="0" stopIfTrue="1">
      <formula>K26&lt;&gt;""</formula>
    </cfRule>
  </conditionalFormatting>
  <conditionalFormatting sqref="M9 M23 M30 M37 M69 M76 M97">
    <cfRule type="expression" priority="29" dxfId="2" stopIfTrue="1">
      <formula>IF($AN8="S",TRUE,FALSE)</formula>
    </cfRule>
  </conditionalFormatting>
  <conditionalFormatting sqref="K37:K38">
    <cfRule type="expression" priority="31" dxfId="0" stopIfTrue="1">
      <formula>$K62&lt;&gt;""</formula>
    </cfRule>
  </conditionalFormatting>
  <conditionalFormatting sqref="K43">
    <cfRule type="expression" priority="23" dxfId="0" stopIfTrue="1">
      <formula>$K47&lt;&gt;""</formula>
    </cfRule>
  </conditionalFormatting>
  <conditionalFormatting sqref="M44">
    <cfRule type="expression" priority="22" dxfId="2" stopIfTrue="1">
      <formula>IF($AN43="S",TRUE,FALSE)</formula>
    </cfRule>
  </conditionalFormatting>
  <conditionalFormatting sqref="K44:K45">
    <cfRule type="expression" priority="21" dxfId="0" stopIfTrue="1">
      <formula>$K69&lt;&gt;""</formula>
    </cfRule>
  </conditionalFormatting>
  <conditionalFormatting sqref="K50">
    <cfRule type="expression" priority="19" dxfId="0" stopIfTrue="1">
      <formula>$K62&lt;&gt;""</formula>
    </cfRule>
  </conditionalFormatting>
  <conditionalFormatting sqref="M51">
    <cfRule type="expression" priority="18" dxfId="2" stopIfTrue="1">
      <formula>IF($AN50="S",TRUE,FALSE)</formula>
    </cfRule>
  </conditionalFormatting>
  <conditionalFormatting sqref="K51:K52">
    <cfRule type="expression" priority="17" dxfId="0" stopIfTrue="1">
      <formula>$K76&lt;&gt;""</formula>
    </cfRule>
  </conditionalFormatting>
  <conditionalFormatting sqref="K57">
    <cfRule type="expression" priority="15" dxfId="0" stopIfTrue="1">
      <formula>$K69&lt;&gt;""</formula>
    </cfRule>
  </conditionalFormatting>
  <conditionalFormatting sqref="M58">
    <cfRule type="expression" priority="14" dxfId="2" stopIfTrue="1">
      <formula>IF($AN57="S",TRUE,FALSE)</formula>
    </cfRule>
  </conditionalFormatting>
  <conditionalFormatting sqref="K58:K59">
    <cfRule type="expression" priority="13" dxfId="0" stopIfTrue="1">
      <formula>$K83&lt;&gt;""</formula>
    </cfRule>
  </conditionalFormatting>
  <conditionalFormatting sqref="K97:K98">
    <cfRule type="expression" priority="33" dxfId="0" stopIfTrue="1">
      <formula>$K122&lt;&gt;""</formula>
    </cfRule>
  </conditionalFormatting>
  <conditionalFormatting sqref="K103">
    <cfRule type="expression" priority="11" dxfId="0" stopIfTrue="1">
      <formula>$K107&lt;&gt;""</formula>
    </cfRule>
  </conditionalFormatting>
  <conditionalFormatting sqref="M104">
    <cfRule type="expression" priority="10" dxfId="2" stopIfTrue="1">
      <formula>IF($AN103="S",TRUE,FALSE)</formula>
    </cfRule>
  </conditionalFormatting>
  <conditionalFormatting sqref="K104:K105">
    <cfRule type="expression" priority="9" dxfId="0" stopIfTrue="1">
      <formula>$K129&lt;&gt;""</formula>
    </cfRule>
  </conditionalFormatting>
  <conditionalFormatting sqref="K110">
    <cfRule type="expression" priority="7" dxfId="0" stopIfTrue="1">
      <formula>$K114&lt;&gt;""</formula>
    </cfRule>
  </conditionalFormatting>
  <conditionalFormatting sqref="M111">
    <cfRule type="expression" priority="6" dxfId="2" stopIfTrue="1">
      <formula>IF($AN110="S",TRUE,FALSE)</formula>
    </cfRule>
  </conditionalFormatting>
  <conditionalFormatting sqref="K111:K112">
    <cfRule type="expression" priority="5" dxfId="0" stopIfTrue="1">
      <formula>$K136&lt;&gt;""</formula>
    </cfRule>
  </conditionalFormatting>
  <conditionalFormatting sqref="M118">
    <cfRule type="expression" priority="2" dxfId="2" stopIfTrue="1">
      <formula>IF($AN117="S",TRUE,FALSE)</formula>
    </cfRule>
  </conditionalFormatting>
  <conditionalFormatting sqref="K118:K119">
    <cfRule type="expression" priority="1" dxfId="0" stopIfTrue="1">
      <formula>$K143&lt;&gt;""</formula>
    </cfRule>
  </conditionalFormatting>
  <conditionalFormatting sqref="K117">
    <cfRule type="expression" priority="82" dxfId="0" stopIfTrue="1">
      <formula>#REF!&lt;&gt;""</formula>
    </cfRule>
  </conditionalFormatting>
  <printOptions/>
  <pageMargins left="0.75" right="0.75" top="1" bottom="1" header="0" footer="0"/>
  <pageSetup blackAndWhite="1" fitToHeight="3" horizontalDpi="600" verticalDpi="600" orientation="landscape" paperSize="9" scale="75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AD69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11.421875" defaultRowHeight="12.75"/>
  <cols>
    <col min="1" max="1" width="4.7109375" style="12" customWidth="1"/>
    <col min="2" max="2" width="26.140625" style="12" customWidth="1"/>
    <col min="3" max="5" width="11.421875" style="12" customWidth="1"/>
    <col min="6" max="7" width="12.8515625" style="12" customWidth="1"/>
    <col min="8" max="10" width="11.421875" style="12" customWidth="1"/>
    <col min="11" max="11" width="13.28125" style="12" customWidth="1"/>
    <col min="12" max="12" width="0" style="12" hidden="1" customWidth="1"/>
    <col min="13" max="13" width="13.8515625" style="12" hidden="1" customWidth="1"/>
    <col min="14" max="16" width="0" style="12" hidden="1" customWidth="1"/>
    <col min="17" max="17" width="14.7109375" style="12" hidden="1" customWidth="1"/>
    <col min="18" max="19" width="0" style="12" hidden="1" customWidth="1"/>
    <col min="20" max="51" width="11.421875" style="12" customWidth="1"/>
    <col min="52" max="52" width="0.13671875" style="12" customWidth="1"/>
    <col min="53" max="16384" width="11.421875" style="12" customWidth="1"/>
  </cols>
  <sheetData>
    <row r="1" spans="1:3" ht="12.75">
      <c r="A1" s="157" t="s">
        <v>102</v>
      </c>
      <c r="B1" s="157"/>
      <c r="C1" s="41"/>
    </row>
    <row r="3" spans="1:4" ht="12.75">
      <c r="A3" s="29" t="s">
        <v>103</v>
      </c>
      <c r="B3" s="30"/>
      <c r="C3" s="30"/>
      <c r="D3" s="30"/>
    </row>
    <row r="4" spans="1:5" ht="14.25">
      <c r="A4" s="15" t="s">
        <v>265</v>
      </c>
      <c r="B4" s="16"/>
      <c r="C4" s="16"/>
      <c r="D4" s="16"/>
      <c r="E4" s="16"/>
    </row>
    <row r="5" spans="1:11" s="60" customFormat="1" ht="12.75">
      <c r="A5" s="58" t="s">
        <v>117</v>
      </c>
      <c r="B5" s="59"/>
      <c r="C5" s="433">
        <f>IF(Inicio!M12&lt;&gt;0,Inicio!M12,"")</f>
      </c>
      <c r="D5" s="433"/>
      <c r="E5" s="433"/>
      <c r="F5" s="433"/>
      <c r="G5" s="433"/>
      <c r="H5" s="433"/>
      <c r="I5" s="59"/>
      <c r="J5" s="59"/>
      <c r="K5" s="59"/>
    </row>
    <row r="6" spans="1:11" ht="12.75">
      <c r="A6" s="44"/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12.75">
      <c r="A7" s="44"/>
      <c r="B7" s="156" t="s">
        <v>262</v>
      </c>
      <c r="C7" s="13"/>
      <c r="D7" s="13"/>
      <c r="E7" s="13"/>
      <c r="F7" s="13"/>
      <c r="G7" s="13"/>
      <c r="H7" s="13"/>
      <c r="I7" s="13"/>
      <c r="J7" s="13"/>
      <c r="K7" s="13"/>
    </row>
    <row r="8" spans="2:10" ht="13.5" thickBot="1">
      <c r="B8" s="30" t="s">
        <v>233</v>
      </c>
      <c r="C8" s="13"/>
      <c r="D8" s="13"/>
      <c r="E8" s="13"/>
      <c r="F8" s="13"/>
      <c r="G8" s="13"/>
      <c r="H8" s="13"/>
      <c r="I8" s="13"/>
      <c r="J8" s="13"/>
    </row>
    <row r="9" spans="2:30" ht="12.75">
      <c r="B9" s="446" t="s">
        <v>116</v>
      </c>
      <c r="C9" s="434" t="s">
        <v>104</v>
      </c>
      <c r="D9" s="444"/>
      <c r="E9" s="445"/>
      <c r="F9" s="434" t="s">
        <v>336</v>
      </c>
      <c r="G9" s="435"/>
      <c r="H9" s="434" t="s">
        <v>40</v>
      </c>
      <c r="I9" s="435"/>
      <c r="J9" s="166" t="s">
        <v>96</v>
      </c>
      <c r="AA9" s="40"/>
      <c r="AB9" s="138"/>
      <c r="AC9" s="138"/>
      <c r="AD9" s="40"/>
    </row>
    <row r="10" spans="2:30" ht="12.75">
      <c r="B10" s="447"/>
      <c r="C10" s="42" t="s">
        <v>83</v>
      </c>
      <c r="D10" s="42" t="s">
        <v>105</v>
      </c>
      <c r="E10" s="42" t="s">
        <v>26</v>
      </c>
      <c r="F10" s="42" t="s">
        <v>34</v>
      </c>
      <c r="G10" s="43" t="s">
        <v>26</v>
      </c>
      <c r="H10" s="42" t="s">
        <v>34</v>
      </c>
      <c r="I10" s="43" t="s">
        <v>26</v>
      </c>
      <c r="J10" s="167" t="s">
        <v>97</v>
      </c>
      <c r="AA10" s="40"/>
      <c r="AB10" s="138" t="s">
        <v>53</v>
      </c>
      <c r="AC10" s="138" t="s">
        <v>54</v>
      </c>
      <c r="AD10" s="40"/>
    </row>
    <row r="11" spans="2:30" ht="12.75">
      <c r="B11" s="168" t="s">
        <v>84</v>
      </c>
      <c r="C11" s="32"/>
      <c r="D11" s="436">
        <f>(C11+C12-C13+C14-C15+C16-C17-C18-C19)</f>
        <v>0</v>
      </c>
      <c r="E11" s="378">
        <f>INDEX(TANEXO,MATCH("CeC",TANEXO_TIPO,),MATCH("ACT_"&amp;Inicio!$AB$1,TANEXO_CAMPOS,))</f>
        <v>1</v>
      </c>
      <c r="F11" s="275" t="s">
        <v>333</v>
      </c>
      <c r="G11" s="378">
        <f>INDEX(TANEXO,MATCH("CeC",TANEXO_TIPO,),MATCH("EMI_"&amp;Inicio!$AB$1,TANEXO_CAMPOS,))</f>
        <v>2</v>
      </c>
      <c r="H11" s="441">
        <f>IF($I16=1,1,IF($I11=1,1,""))</f>
        <v>1</v>
      </c>
      <c r="I11" s="378">
        <f>INDEX(TANEXO,MATCH("CeC",TANEXO_TIPO,),MATCH("CNV_"&amp;Inicio!$AB$1,TANEXO_CAMPOS,))</f>
        <v>1</v>
      </c>
      <c r="J11" s="429">
        <f>IF(ISERROR($M19),"",$M19)</f>
        <v>0</v>
      </c>
      <c r="AA11" s="40"/>
      <c r="AB11" s="139">
        <f>Inicio!$AA$1</f>
        <v>2</v>
      </c>
      <c r="AC11" s="140" t="str">
        <f>INDEX(TRANGO,MATCH($AB$11,TRANGO_FILAS,),MATCH("Tipo",TRANGO_CAMPOS,))</f>
        <v>B</v>
      </c>
      <c r="AD11" s="40"/>
    </row>
    <row r="12" spans="2:30" ht="12.75">
      <c r="B12" s="168" t="s">
        <v>131</v>
      </c>
      <c r="C12" s="32"/>
      <c r="D12" s="437"/>
      <c r="E12" s="439"/>
      <c r="F12" s="384">
        <f>IF(B57&lt;&gt;0,(0.785*(B26/D11))+1.092*(B28/D11),"")</f>
      </c>
      <c r="G12" s="424"/>
      <c r="H12" s="442"/>
      <c r="I12" s="424"/>
      <c r="J12" s="430"/>
      <c r="AA12" s="40"/>
      <c r="AB12" s="138"/>
      <c r="AC12" s="138"/>
      <c r="AD12" s="40"/>
    </row>
    <row r="13" spans="2:10" ht="12.75">
      <c r="B13" s="168" t="s">
        <v>132</v>
      </c>
      <c r="C13" s="32"/>
      <c r="D13" s="437"/>
      <c r="E13" s="439"/>
      <c r="F13" s="419"/>
      <c r="G13" s="424"/>
      <c r="H13" s="442"/>
      <c r="I13" s="424"/>
      <c r="J13" s="430"/>
    </row>
    <row r="14" spans="2:10" ht="12.75">
      <c r="B14" s="168" t="s">
        <v>86</v>
      </c>
      <c r="C14" s="32"/>
      <c r="D14" s="437"/>
      <c r="E14" s="439"/>
      <c r="F14" s="419"/>
      <c r="G14" s="424"/>
      <c r="H14" s="442"/>
      <c r="I14" s="424"/>
      <c r="J14" s="430"/>
    </row>
    <row r="15" spans="2:10" ht="12.75">
      <c r="B15" s="168" t="s">
        <v>87</v>
      </c>
      <c r="C15" s="32"/>
      <c r="D15" s="437"/>
      <c r="E15" s="439"/>
      <c r="F15" s="420"/>
      <c r="G15" s="424"/>
      <c r="H15" s="442"/>
      <c r="I15" s="432"/>
      <c r="J15" s="430"/>
    </row>
    <row r="16" spans="2:10" ht="12.75">
      <c r="B16" s="168" t="s">
        <v>88</v>
      </c>
      <c r="C16" s="32"/>
      <c r="D16" s="437"/>
      <c r="E16" s="439"/>
      <c r="F16" s="274" t="s">
        <v>332</v>
      </c>
      <c r="G16" s="424"/>
      <c r="H16" s="442"/>
      <c r="I16" s="423"/>
      <c r="J16" s="430"/>
    </row>
    <row r="17" spans="2:10" ht="12.75">
      <c r="B17" s="168" t="s">
        <v>90</v>
      </c>
      <c r="C17" s="32"/>
      <c r="D17" s="437"/>
      <c r="E17" s="439"/>
      <c r="F17" s="421"/>
      <c r="G17" s="424"/>
      <c r="H17" s="442"/>
      <c r="I17" s="421"/>
      <c r="J17" s="430"/>
    </row>
    <row r="18" spans="2:10" ht="12.75">
      <c r="B18" s="168" t="s">
        <v>133</v>
      </c>
      <c r="C18" s="32"/>
      <c r="D18" s="437"/>
      <c r="E18" s="439"/>
      <c r="F18" s="421"/>
      <c r="G18" s="424"/>
      <c r="H18" s="442"/>
      <c r="I18" s="421"/>
      <c r="J18" s="430"/>
    </row>
    <row r="19" spans="2:13" ht="13.5" thickBot="1">
      <c r="B19" s="169" t="s">
        <v>263</v>
      </c>
      <c r="C19" s="170"/>
      <c r="D19" s="438"/>
      <c r="E19" s="440"/>
      <c r="F19" s="422"/>
      <c r="G19" s="425"/>
      <c r="H19" s="443"/>
      <c r="I19" s="422"/>
      <c r="J19" s="431"/>
      <c r="K19" s="102"/>
      <c r="M19" s="12">
        <f>IF($B57="",C21*F17*H11,D11*F12*H11)</f>
        <v>0</v>
      </c>
    </row>
    <row r="20" spans="2:11" ht="12.75">
      <c r="B20" s="269"/>
      <c r="C20" s="172"/>
      <c r="D20" s="172"/>
      <c r="E20" s="172"/>
      <c r="F20" s="172"/>
      <c r="G20" s="172"/>
      <c r="H20" s="172"/>
      <c r="I20" s="173"/>
      <c r="J20" s="171"/>
      <c r="K20" s="40"/>
    </row>
    <row r="21" spans="2:11" ht="12.75">
      <c r="B21" s="45" t="s">
        <v>264</v>
      </c>
      <c r="C21" s="303"/>
      <c r="D21" s="229"/>
      <c r="I21" s="40"/>
      <c r="J21" s="40"/>
      <c r="K21" s="40"/>
    </row>
    <row r="22" spans="2:11" ht="12.75">
      <c r="B22" s="270"/>
      <c r="C22" s="271"/>
      <c r="D22" s="229"/>
      <c r="I22" s="40"/>
      <c r="J22" s="40"/>
      <c r="K22" s="40"/>
    </row>
    <row r="23" spans="2:11" ht="13.5" thickBot="1">
      <c r="B23" s="301" t="s">
        <v>354</v>
      </c>
      <c r="C23" s="271"/>
      <c r="D23" s="229"/>
      <c r="I23" s="40"/>
      <c r="J23" s="40"/>
      <c r="K23" s="40"/>
    </row>
    <row r="24" spans="2:11" ht="16.5" customHeight="1">
      <c r="B24" s="272" t="s">
        <v>337</v>
      </c>
      <c r="C24" s="271"/>
      <c r="D24" s="229"/>
      <c r="I24" s="40"/>
      <c r="J24" s="40"/>
      <c r="K24" s="40"/>
    </row>
    <row r="25" spans="2:11" ht="12.75">
      <c r="B25" s="273" t="s">
        <v>85</v>
      </c>
      <c r="C25" s="271"/>
      <c r="D25" s="289"/>
      <c r="I25" s="40"/>
      <c r="J25" s="40"/>
      <c r="K25" s="40"/>
    </row>
    <row r="26" spans="2:11" ht="12.75">
      <c r="B26" s="276"/>
      <c r="C26" s="271"/>
      <c r="D26" s="229"/>
      <c r="I26" s="40"/>
      <c r="J26" s="40"/>
      <c r="K26" s="40"/>
    </row>
    <row r="27" spans="2:11" ht="12.75">
      <c r="B27" s="273" t="s">
        <v>89</v>
      </c>
      <c r="C27" s="271"/>
      <c r="D27" s="229"/>
      <c r="I27" s="40"/>
      <c r="J27" s="40"/>
      <c r="K27" s="40"/>
    </row>
    <row r="28" spans="2:11" ht="13.5" thickBot="1">
      <c r="B28" s="277"/>
      <c r="C28" s="271"/>
      <c r="D28" s="229"/>
      <c r="I28" s="40"/>
      <c r="J28" s="40"/>
      <c r="K28" s="40"/>
    </row>
    <row r="29" spans="2:11" ht="12.75">
      <c r="B29" s="270"/>
      <c r="C29" s="271"/>
      <c r="D29" s="229"/>
      <c r="I29" s="40"/>
      <c r="J29" s="40"/>
      <c r="K29" s="40"/>
    </row>
    <row r="30" ht="13.5" thickBot="1">
      <c r="B30" s="30" t="s">
        <v>234</v>
      </c>
    </row>
    <row r="31" spans="2:10" ht="12.75">
      <c r="B31" s="446" t="s">
        <v>116</v>
      </c>
      <c r="C31" s="434" t="s">
        <v>104</v>
      </c>
      <c r="D31" s="444"/>
      <c r="E31" s="445"/>
      <c r="F31" s="434" t="s">
        <v>336</v>
      </c>
      <c r="G31" s="435"/>
      <c r="H31" s="434" t="s">
        <v>40</v>
      </c>
      <c r="I31" s="435"/>
      <c r="J31" s="166" t="s">
        <v>96</v>
      </c>
    </row>
    <row r="32" spans="2:10" ht="12.75">
      <c r="B32" s="447"/>
      <c r="C32" s="42" t="s">
        <v>83</v>
      </c>
      <c r="D32" s="42" t="s">
        <v>105</v>
      </c>
      <c r="E32" s="42" t="s">
        <v>26</v>
      </c>
      <c r="F32" s="42" t="s">
        <v>34</v>
      </c>
      <c r="G32" s="43" t="s">
        <v>26</v>
      </c>
      <c r="H32" s="42" t="s">
        <v>34</v>
      </c>
      <c r="I32" s="43" t="s">
        <v>26</v>
      </c>
      <c r="J32" s="167" t="s">
        <v>97</v>
      </c>
    </row>
    <row r="33" spans="2:10" ht="12.75">
      <c r="B33" s="168" t="s">
        <v>84</v>
      </c>
      <c r="C33" s="32"/>
      <c r="D33" s="448">
        <f>(C33+C34-C35+C36-C37+C38-C39-C40-C41)</f>
        <v>0</v>
      </c>
      <c r="E33" s="378">
        <f>INDEX(TANEXO,MATCH("CeC",TANEXO_TIPO,),MATCH("ACT_"&amp;Inicio!$AB$1,TANEXO_CAMPOS,))</f>
        <v>1</v>
      </c>
      <c r="F33" s="267" t="s">
        <v>334</v>
      </c>
      <c r="G33" s="378">
        <f>INDEX(TANEXO,MATCH("CeC",TANEXO_TIPO,),MATCH("EMI_"&amp;Inicio!$AB$1,TANEXO_CAMPOS,))</f>
        <v>2</v>
      </c>
      <c r="H33" s="426">
        <f>IF($I38=1,1,IF($I33=1,1,""))</f>
        <v>1</v>
      </c>
      <c r="I33" s="378">
        <f>INDEX(TANEXO,MATCH("CeC",TANEXO_TIPO,),MATCH("CNV_"&amp;Inicio!$AB$1,TANEXO_CAMPOS,))</f>
        <v>1</v>
      </c>
      <c r="J33" s="429">
        <f>IF(ISERROR($M41),"",$M41)</f>
        <v>0</v>
      </c>
    </row>
    <row r="34" spans="2:10" ht="12.75">
      <c r="B34" s="168" t="s">
        <v>131</v>
      </c>
      <c r="C34" s="32"/>
      <c r="D34" s="449"/>
      <c r="E34" s="424"/>
      <c r="F34" s="378">
        <f>IF(B65&lt;&gt;0,(0.785*(B48/D33))+1.092*(B50/D33),"")</f>
      </c>
      <c r="G34" s="424"/>
      <c r="H34" s="427"/>
      <c r="I34" s="424"/>
      <c r="J34" s="430"/>
    </row>
    <row r="35" spans="2:10" ht="12.75">
      <c r="B35" s="168" t="s">
        <v>132</v>
      </c>
      <c r="C35" s="32"/>
      <c r="D35" s="449"/>
      <c r="E35" s="424"/>
      <c r="F35" s="419"/>
      <c r="G35" s="424"/>
      <c r="H35" s="427"/>
      <c r="I35" s="424"/>
      <c r="J35" s="430"/>
    </row>
    <row r="36" spans="2:10" ht="12.75">
      <c r="B36" s="168" t="s">
        <v>86</v>
      </c>
      <c r="C36" s="32"/>
      <c r="D36" s="449"/>
      <c r="E36" s="424"/>
      <c r="F36" s="419"/>
      <c r="G36" s="424"/>
      <c r="H36" s="427"/>
      <c r="I36" s="424"/>
      <c r="J36" s="430"/>
    </row>
    <row r="37" spans="2:10" ht="12.75">
      <c r="B37" s="168" t="s">
        <v>87</v>
      </c>
      <c r="C37" s="32"/>
      <c r="D37" s="449"/>
      <c r="E37" s="424"/>
      <c r="F37" s="420"/>
      <c r="G37" s="424"/>
      <c r="H37" s="427"/>
      <c r="I37" s="432"/>
      <c r="J37" s="430"/>
    </row>
    <row r="38" spans="2:10" ht="12.75">
      <c r="B38" s="168" t="s">
        <v>88</v>
      </c>
      <c r="C38" s="32"/>
      <c r="D38" s="449"/>
      <c r="E38" s="424"/>
      <c r="F38" s="268" t="s">
        <v>335</v>
      </c>
      <c r="G38" s="424"/>
      <c r="H38" s="427"/>
      <c r="I38" s="423"/>
      <c r="J38" s="430"/>
    </row>
    <row r="39" spans="2:10" ht="12.75">
      <c r="B39" s="168" t="s">
        <v>90</v>
      </c>
      <c r="C39" s="32"/>
      <c r="D39" s="449"/>
      <c r="E39" s="424"/>
      <c r="F39" s="423"/>
      <c r="G39" s="424"/>
      <c r="H39" s="427"/>
      <c r="I39" s="421"/>
      <c r="J39" s="430"/>
    </row>
    <row r="40" spans="2:10" ht="12.75">
      <c r="B40" s="168" t="s">
        <v>133</v>
      </c>
      <c r="C40" s="32"/>
      <c r="D40" s="449"/>
      <c r="E40" s="424"/>
      <c r="F40" s="421"/>
      <c r="G40" s="424"/>
      <c r="H40" s="427"/>
      <c r="I40" s="421"/>
      <c r="J40" s="430"/>
    </row>
    <row r="41" spans="2:13" ht="13.5" thickBot="1">
      <c r="B41" s="169" t="s">
        <v>263</v>
      </c>
      <c r="C41" s="170"/>
      <c r="D41" s="450"/>
      <c r="E41" s="425"/>
      <c r="F41" s="422"/>
      <c r="G41" s="425"/>
      <c r="H41" s="428"/>
      <c r="I41" s="422"/>
      <c r="J41" s="431"/>
      <c r="K41" s="219"/>
      <c r="M41" s="12">
        <f>IF($B65="",C43*F39*H33,D33*F34*H33)</f>
        <v>0</v>
      </c>
    </row>
    <row r="42" spans="2:11" ht="12.75">
      <c r="B42" s="269"/>
      <c r="C42" s="172"/>
      <c r="D42" s="172"/>
      <c r="E42" s="172"/>
      <c r="F42" s="172"/>
      <c r="G42" s="172"/>
      <c r="H42" s="172"/>
      <c r="I42" s="172"/>
      <c r="J42" s="172"/>
      <c r="K42" s="34"/>
    </row>
    <row r="43" spans="2:11" ht="12.75">
      <c r="B43" s="45" t="s">
        <v>264</v>
      </c>
      <c r="C43" s="303"/>
      <c r="K43" s="105"/>
    </row>
    <row r="45" ht="13.5" thickBot="1">
      <c r="B45" s="302" t="s">
        <v>354</v>
      </c>
    </row>
    <row r="46" ht="16.5" customHeight="1">
      <c r="B46" s="272" t="s">
        <v>337</v>
      </c>
    </row>
    <row r="47" spans="2:4" ht="12.75">
      <c r="B47" s="273" t="s">
        <v>85</v>
      </c>
      <c r="D47" s="290"/>
    </row>
    <row r="48" ht="12.75">
      <c r="B48" s="276"/>
    </row>
    <row r="49" ht="12.75">
      <c r="B49" s="273" t="s">
        <v>89</v>
      </c>
    </row>
    <row r="50" ht="13.5" thickBot="1">
      <c r="B50" s="277"/>
    </row>
    <row r="51" ht="12.75">
      <c r="B51" s="278"/>
    </row>
    <row r="52" ht="12.75">
      <c r="B52" s="157"/>
    </row>
    <row r="53" spans="2:6" ht="13.5" thickBot="1">
      <c r="B53" s="156" t="s">
        <v>351</v>
      </c>
      <c r="C53" s="34"/>
      <c r="D53" s="34"/>
      <c r="E53" s="34"/>
      <c r="F53" s="13"/>
    </row>
    <row r="54" spans="2:11" ht="13.5" thickBot="1">
      <c r="B54" s="411" t="s">
        <v>258</v>
      </c>
      <c r="C54" s="412"/>
      <c r="D54" s="412"/>
      <c r="E54" s="412"/>
      <c r="F54" s="412"/>
      <c r="G54" s="412"/>
      <c r="H54" s="412"/>
      <c r="I54" s="412"/>
      <c r="J54" s="412"/>
      <c r="K54" s="413"/>
    </row>
    <row r="55" spans="2:11" ht="12.75">
      <c r="B55" s="414" t="s">
        <v>259</v>
      </c>
      <c r="C55" s="415"/>
      <c r="D55" s="416"/>
      <c r="E55" s="414" t="s">
        <v>304</v>
      </c>
      <c r="F55" s="415"/>
      <c r="G55" s="416"/>
      <c r="H55" s="414" t="s">
        <v>40</v>
      </c>
      <c r="I55" s="415"/>
      <c r="J55" s="416"/>
      <c r="K55" s="158" t="s">
        <v>96</v>
      </c>
    </row>
    <row r="56" spans="2:11" ht="12.75">
      <c r="B56" s="164" t="s">
        <v>353</v>
      </c>
      <c r="C56" s="400" t="s">
        <v>26</v>
      </c>
      <c r="D56" s="401"/>
      <c r="E56" s="159" t="s">
        <v>34</v>
      </c>
      <c r="F56" s="400" t="s">
        <v>26</v>
      </c>
      <c r="G56" s="401"/>
      <c r="H56" s="159" t="s">
        <v>34</v>
      </c>
      <c r="I56" s="400" t="s">
        <v>26</v>
      </c>
      <c r="J56" s="401"/>
      <c r="K56" s="165" t="s">
        <v>97</v>
      </c>
    </row>
    <row r="57" spans="2:11" ht="12.75">
      <c r="B57" s="402"/>
      <c r="C57" s="378">
        <f>INDEX(TANEXO,MATCH("CenC",TANEXO_TIPO,),MATCH("ACT_"&amp;Inicio!$AB$1,TANEXO_CAMPOS,))</f>
        <v>1</v>
      </c>
      <c r="D57" s="405"/>
      <c r="E57" s="407">
        <v>3.664</v>
      </c>
      <c r="F57" s="378">
        <f>INDEX(TANEXO,MATCH("CenC",TANEXO_TIPO,),MATCH("EMI_"&amp;Inicio!$AB$1,TANEXO_CAMPOS,))</f>
        <v>1</v>
      </c>
      <c r="G57" s="405"/>
      <c r="H57" s="409">
        <f>IF($I57=1,1,IF($J57=1,1,""))</f>
        <v>1</v>
      </c>
      <c r="I57" s="378">
        <f>INDEX(TANEXO,MATCH("CenC",TANEXO_TIPO,),MATCH("CNV_"&amp;Inicio!$AB$1,TANEXO_CAMPOS,))</f>
        <v>1</v>
      </c>
      <c r="J57" s="405"/>
      <c r="K57" s="417">
        <f>IF(ISERROR($M58),"",$M58)</f>
        <v>0</v>
      </c>
    </row>
    <row r="58" spans="2:13" ht="13.5" thickBot="1">
      <c r="B58" s="403"/>
      <c r="C58" s="404"/>
      <c r="D58" s="406"/>
      <c r="E58" s="408"/>
      <c r="F58" s="404"/>
      <c r="G58" s="406"/>
      <c r="H58" s="410"/>
      <c r="I58" s="404"/>
      <c r="J58" s="406"/>
      <c r="K58" s="418"/>
      <c r="M58" s="220">
        <f>(IF($C21="",0,$C21)*IF($B57="",0,$B57)*IF($E57="",0,$E57)*IF($H57="",0,$H57))/100</f>
        <v>0</v>
      </c>
    </row>
    <row r="59" spans="2:13" ht="12.75">
      <c r="B59" s="295"/>
      <c r="C59" s="296"/>
      <c r="D59" s="297"/>
      <c r="E59" s="263"/>
      <c r="F59" s="296"/>
      <c r="G59" s="259"/>
      <c r="H59" s="298"/>
      <c r="I59" s="296"/>
      <c r="J59" s="259"/>
      <c r="K59" s="299"/>
      <c r="M59" s="220"/>
    </row>
    <row r="60" spans="2:13" ht="12.75">
      <c r="B60" s="295"/>
      <c r="C60" s="296"/>
      <c r="D60" s="297"/>
      <c r="E60" s="263"/>
      <c r="F60" s="296"/>
      <c r="G60" s="259"/>
      <c r="H60" s="298"/>
      <c r="I60" s="296"/>
      <c r="J60" s="259"/>
      <c r="K60" s="299"/>
      <c r="M60" s="220"/>
    </row>
    <row r="61" spans="2:13" ht="13.5" thickBot="1">
      <c r="B61" s="156" t="s">
        <v>352</v>
      </c>
      <c r="C61" s="34"/>
      <c r="D61" s="34"/>
      <c r="E61" s="34"/>
      <c r="F61" s="13"/>
      <c r="M61" s="220"/>
    </row>
    <row r="62" spans="2:13" ht="13.5" thickBot="1">
      <c r="B62" s="411" t="s">
        <v>258</v>
      </c>
      <c r="C62" s="412"/>
      <c r="D62" s="412"/>
      <c r="E62" s="412"/>
      <c r="F62" s="412"/>
      <c r="G62" s="412"/>
      <c r="H62" s="412"/>
      <c r="I62" s="412"/>
      <c r="J62" s="412"/>
      <c r="K62" s="413"/>
      <c r="M62" s="220"/>
    </row>
    <row r="63" spans="2:13" ht="12.75">
      <c r="B63" s="414" t="s">
        <v>259</v>
      </c>
      <c r="C63" s="415"/>
      <c r="D63" s="416"/>
      <c r="E63" s="414" t="s">
        <v>304</v>
      </c>
      <c r="F63" s="415"/>
      <c r="G63" s="416"/>
      <c r="H63" s="414" t="s">
        <v>40</v>
      </c>
      <c r="I63" s="415"/>
      <c r="J63" s="416"/>
      <c r="K63" s="158" t="s">
        <v>96</v>
      </c>
      <c r="M63" s="220"/>
    </row>
    <row r="64" spans="2:13" ht="12.75">
      <c r="B64" s="164" t="s">
        <v>353</v>
      </c>
      <c r="C64" s="400" t="s">
        <v>26</v>
      </c>
      <c r="D64" s="401"/>
      <c r="E64" s="159" t="s">
        <v>34</v>
      </c>
      <c r="F64" s="400" t="s">
        <v>26</v>
      </c>
      <c r="G64" s="401"/>
      <c r="H64" s="159" t="s">
        <v>34</v>
      </c>
      <c r="I64" s="400" t="s">
        <v>26</v>
      </c>
      <c r="J64" s="401"/>
      <c r="K64" s="165" t="s">
        <v>97</v>
      </c>
      <c r="M64" s="220"/>
    </row>
    <row r="65" spans="2:13" ht="12.75">
      <c r="B65" s="402"/>
      <c r="C65" s="378">
        <f>INDEX(TANEXO,MATCH("CenC",TANEXO_TIPO,),MATCH("ACT_"&amp;Inicio!$AB$1,TANEXO_CAMPOS,))</f>
        <v>1</v>
      </c>
      <c r="D65" s="405"/>
      <c r="E65" s="407">
        <v>3.664</v>
      </c>
      <c r="F65" s="378">
        <f>INDEX(TANEXO,MATCH("CenC",TANEXO_TIPO,),MATCH("EMI_"&amp;Inicio!$AB$1,TANEXO_CAMPOS,))</f>
        <v>1</v>
      </c>
      <c r="G65" s="405"/>
      <c r="H65" s="409">
        <f>IF($I65=1,1,IF($J65=1,1,""))</f>
        <v>1</v>
      </c>
      <c r="I65" s="378">
        <f>INDEX(TANEXO,MATCH("CenC",TANEXO_TIPO,),MATCH("CNV_"&amp;Inicio!$AB$1,TANEXO_CAMPOS,))</f>
        <v>1</v>
      </c>
      <c r="J65" s="405"/>
      <c r="K65" s="417">
        <f>IF(ISERROR($M66),"",$M66)</f>
        <v>0</v>
      </c>
      <c r="M65" s="220"/>
    </row>
    <row r="66" spans="2:13" ht="13.5" thickBot="1">
      <c r="B66" s="403"/>
      <c r="C66" s="404"/>
      <c r="D66" s="406"/>
      <c r="E66" s="408"/>
      <c r="F66" s="404"/>
      <c r="G66" s="406"/>
      <c r="H66" s="410"/>
      <c r="I66" s="404"/>
      <c r="J66" s="406"/>
      <c r="K66" s="418"/>
      <c r="M66" s="220">
        <f>(IF($C43="",0,$C43)*IF($B65="",0,$B65)*IF($E65="",0,$E65)*IF($H65="",0,$H65))/100</f>
        <v>0</v>
      </c>
    </row>
    <row r="67" spans="2:13" ht="12.75">
      <c r="B67" s="295"/>
      <c r="C67" s="296"/>
      <c r="D67" s="297"/>
      <c r="E67" s="263"/>
      <c r="F67" s="296"/>
      <c r="G67" s="259"/>
      <c r="H67" s="298"/>
      <c r="I67" s="296"/>
      <c r="J67" s="259"/>
      <c r="K67" s="299"/>
      <c r="M67" s="220"/>
    </row>
    <row r="69" spans="2:13" ht="12.75">
      <c r="B69" s="386" t="s">
        <v>106</v>
      </c>
      <c r="C69" s="396"/>
      <c r="D69" s="396"/>
      <c r="E69" s="397"/>
      <c r="F69" s="398">
        <f>IF(M69=0,"",M69)</f>
      </c>
      <c r="G69" s="399"/>
      <c r="K69" s="105"/>
      <c r="M69" s="12">
        <f>IF($J11="",0,$J11)+IF($J33="",0,$J33)+IF($K57="",0,$K57)+IF($K65="",0,$K65)</f>
        <v>0</v>
      </c>
    </row>
  </sheetData>
  <sheetProtection password="D51C" sheet="1" objects="1" scenarios="1"/>
  <mergeCells count="63">
    <mergeCell ref="B9:B10"/>
    <mergeCell ref="C9:E9"/>
    <mergeCell ref="E33:E41"/>
    <mergeCell ref="G11:G19"/>
    <mergeCell ref="D33:D41"/>
    <mergeCell ref="B31:B32"/>
    <mergeCell ref="C5:H5"/>
    <mergeCell ref="H9:I9"/>
    <mergeCell ref="F9:G9"/>
    <mergeCell ref="F31:G31"/>
    <mergeCell ref="D11:D19"/>
    <mergeCell ref="E11:E19"/>
    <mergeCell ref="I11:I15"/>
    <mergeCell ref="H11:H19"/>
    <mergeCell ref="H31:I31"/>
    <mergeCell ref="C31:E31"/>
    <mergeCell ref="K57:K58"/>
    <mergeCell ref="I16:I19"/>
    <mergeCell ref="I38:I41"/>
    <mergeCell ref="I57:I58"/>
    <mergeCell ref="I56:J56"/>
    <mergeCell ref="J11:J19"/>
    <mergeCell ref="J57:J58"/>
    <mergeCell ref="B54:K54"/>
    <mergeCell ref="B55:D55"/>
    <mergeCell ref="E55:G55"/>
    <mergeCell ref="B57:B58"/>
    <mergeCell ref="C57:C58"/>
    <mergeCell ref="D57:D58"/>
    <mergeCell ref="E57:E58"/>
    <mergeCell ref="J33:J41"/>
    <mergeCell ref="I33:I37"/>
    <mergeCell ref="C56:D56"/>
    <mergeCell ref="F56:G56"/>
    <mergeCell ref="H55:J55"/>
    <mergeCell ref="F57:F58"/>
    <mergeCell ref="G57:G58"/>
    <mergeCell ref="H57:H58"/>
    <mergeCell ref="F12:F15"/>
    <mergeCell ref="F17:F19"/>
    <mergeCell ref="F34:F37"/>
    <mergeCell ref="F39:F41"/>
    <mergeCell ref="G33:G41"/>
    <mergeCell ref="H33:H41"/>
    <mergeCell ref="G65:G66"/>
    <mergeCell ref="H65:H66"/>
    <mergeCell ref="B62:K62"/>
    <mergeCell ref="B63:D63"/>
    <mergeCell ref="E63:G63"/>
    <mergeCell ref="H63:J63"/>
    <mergeCell ref="I65:I66"/>
    <mergeCell ref="J65:J66"/>
    <mergeCell ref="K65:K66"/>
    <mergeCell ref="B69:E69"/>
    <mergeCell ref="F69:G69"/>
    <mergeCell ref="C64:D64"/>
    <mergeCell ref="F64:G64"/>
    <mergeCell ref="I64:J64"/>
    <mergeCell ref="B65:B66"/>
    <mergeCell ref="C65:C66"/>
    <mergeCell ref="D65:D66"/>
    <mergeCell ref="E65:E66"/>
    <mergeCell ref="F65:F66"/>
  </mergeCells>
  <printOptions horizontalCentered="1" verticalCentered="1"/>
  <pageMargins left="0.75" right="0.75" top="1" bottom="1" header="0" footer="0"/>
  <pageSetup blackAndWhite="1" horizontalDpi="600" verticalDpi="600" orientation="landscape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"/>
  <dimension ref="A1:AB78"/>
  <sheetViews>
    <sheetView showGridLines="0" showRowColHeaders="0" zoomScalePageLayoutView="0" workbookViewId="0" topLeftCell="A1">
      <pane ySplit="5" topLeftCell="A6" activePane="bottomLeft" state="frozen"/>
      <selection pane="topLeft" activeCell="A1" sqref="A1"/>
      <selection pane="bottomLeft" activeCell="B2" sqref="B2"/>
    </sheetView>
  </sheetViews>
  <sheetFormatPr defaultColWidth="11.421875" defaultRowHeight="12.75"/>
  <cols>
    <col min="1" max="1" width="2.7109375" style="12" customWidth="1"/>
    <col min="2" max="2" width="16.00390625" style="12" customWidth="1"/>
    <col min="3" max="3" width="12.421875" style="12" customWidth="1"/>
    <col min="4" max="4" width="10.421875" style="12" customWidth="1"/>
    <col min="5" max="5" width="11.140625" style="12" customWidth="1"/>
    <col min="6" max="6" width="9.57421875" style="12" customWidth="1"/>
    <col min="7" max="8" width="9.7109375" style="12" customWidth="1"/>
    <col min="9" max="12" width="10.421875" style="12" customWidth="1"/>
    <col min="13" max="13" width="11.7109375" style="12" customWidth="1"/>
    <col min="14" max="18" width="11.421875" style="12" hidden="1" customWidth="1"/>
    <col min="19" max="20" width="0" style="12" hidden="1" customWidth="1"/>
    <col min="21" max="33" width="11.421875" style="12" customWidth="1"/>
    <col min="34" max="34" width="15.00390625" style="12" customWidth="1"/>
    <col min="35" max="16384" width="11.421875" style="12" customWidth="1"/>
  </cols>
  <sheetData>
    <row r="1" spans="1:3" ht="12.75">
      <c r="A1" s="157" t="s">
        <v>267</v>
      </c>
      <c r="B1" s="41"/>
      <c r="C1" s="41"/>
    </row>
    <row r="3" spans="1:4" ht="12.75">
      <c r="A3" s="29" t="s">
        <v>103</v>
      </c>
      <c r="B3" s="30"/>
      <c r="C3" s="30"/>
      <c r="D3" s="30"/>
    </row>
    <row r="4" spans="1:5" ht="14.25">
      <c r="A4" s="15" t="s">
        <v>98</v>
      </c>
      <c r="B4" s="16"/>
      <c r="C4" s="16"/>
      <c r="D4" s="16"/>
      <c r="E4" s="16"/>
    </row>
    <row r="5" spans="1:11" s="60" customFormat="1" ht="12.75">
      <c r="A5" s="58" t="s">
        <v>117</v>
      </c>
      <c r="B5" s="59"/>
      <c r="C5" s="433">
        <f>IF(Inicio!M12&lt;&gt;0,Inicio!M12,"")</f>
      </c>
      <c r="D5" s="433"/>
      <c r="E5" s="433"/>
      <c r="F5" s="433"/>
      <c r="G5" s="433"/>
      <c r="H5" s="433"/>
      <c r="I5" s="59"/>
      <c r="J5" s="59"/>
      <c r="K5" s="59"/>
    </row>
    <row r="6" spans="2:10" ht="12.75">
      <c r="B6" s="13"/>
      <c r="C6" s="13"/>
      <c r="D6" s="13"/>
      <c r="E6" s="13"/>
      <c r="F6" s="13"/>
      <c r="G6" s="13"/>
      <c r="H6" s="13"/>
      <c r="I6" s="13"/>
      <c r="J6" s="13"/>
    </row>
    <row r="7" spans="2:10" ht="12.75">
      <c r="B7" s="23"/>
      <c r="C7" s="13"/>
      <c r="D7" s="13"/>
      <c r="E7" s="13"/>
      <c r="F7" s="13"/>
      <c r="G7" s="13"/>
      <c r="H7" s="13"/>
      <c r="I7" s="13"/>
      <c r="J7" s="13"/>
    </row>
    <row r="8" spans="2:11" ht="12.75" customHeight="1">
      <c r="B8" s="23"/>
      <c r="C8" s="23"/>
      <c r="D8" s="13"/>
      <c r="E8" s="13"/>
      <c r="F8" s="13"/>
      <c r="G8" s="13"/>
      <c r="H8" s="13"/>
      <c r="I8" s="13"/>
      <c r="J8" s="13"/>
      <c r="K8" s="13"/>
    </row>
    <row r="9" spans="2:28" ht="12.75">
      <c r="B9" s="464" t="s">
        <v>268</v>
      </c>
      <c r="C9" s="369" t="s">
        <v>33</v>
      </c>
      <c r="D9" s="383"/>
      <c r="E9" s="369" t="s">
        <v>272</v>
      </c>
      <c r="F9" s="383"/>
      <c r="G9" s="383"/>
      <c r="H9" s="383"/>
      <c r="I9" s="466"/>
      <c r="J9" s="369" t="s">
        <v>40</v>
      </c>
      <c r="K9" s="383"/>
      <c r="L9" s="466"/>
      <c r="M9" s="38" t="s">
        <v>96</v>
      </c>
      <c r="T9" s="65"/>
      <c r="U9" s="40"/>
      <c r="W9" s="40"/>
      <c r="X9" s="40"/>
      <c r="Y9" s="40"/>
      <c r="Z9" s="40"/>
      <c r="AA9" s="40"/>
      <c r="AB9" s="40"/>
    </row>
    <row r="10" spans="2:28" ht="21.75" customHeight="1">
      <c r="B10" s="465"/>
      <c r="C10" s="175" t="s">
        <v>269</v>
      </c>
      <c r="D10" s="176" t="s">
        <v>26</v>
      </c>
      <c r="E10" s="176" t="s">
        <v>42</v>
      </c>
      <c r="F10" s="176" t="s">
        <v>271</v>
      </c>
      <c r="G10" s="176" t="s">
        <v>43</v>
      </c>
      <c r="H10" s="282" t="s">
        <v>270</v>
      </c>
      <c r="I10" s="176" t="s">
        <v>26</v>
      </c>
      <c r="J10" s="176" t="s">
        <v>34</v>
      </c>
      <c r="K10" s="467" t="s">
        <v>26</v>
      </c>
      <c r="L10" s="468"/>
      <c r="M10" s="39" t="s">
        <v>97</v>
      </c>
      <c r="T10" s="65"/>
      <c r="U10" s="65"/>
      <c r="W10" s="65"/>
      <c r="X10" s="40"/>
      <c r="Y10" s="40"/>
      <c r="Z10" s="40"/>
      <c r="AA10" s="40"/>
      <c r="AB10" s="40"/>
    </row>
    <row r="11" spans="2:23" ht="22.5">
      <c r="B11" s="178" t="s">
        <v>338</v>
      </c>
      <c r="C11" s="363"/>
      <c r="D11" s="456">
        <f>INDEX(TANEXO,MATCH("CaC",TANEXO_TIPO,),MATCH("ACT_"&amp;Inicio!$AB$1,TANEXO_CAMPOS,))</f>
        <v>2</v>
      </c>
      <c r="E11" s="24" t="s">
        <v>44</v>
      </c>
      <c r="F11" s="100"/>
      <c r="G11" s="207">
        <f>$C$11*F11/100</f>
        <v>0</v>
      </c>
      <c r="H11" s="25">
        <v>0.44</v>
      </c>
      <c r="I11" s="456">
        <f>INDEX(TANEXO,MATCH("CaC",TANEXO_TIPO,),MATCH("EMI_"&amp;Inicio!$AB$1,TANEXO_CAMPOS,))</f>
        <v>1</v>
      </c>
      <c r="J11" s="441">
        <f>IF($K11=1,1,IF($L11=1,1,""))</f>
        <v>1</v>
      </c>
      <c r="K11" s="456">
        <f>INDEX(TANEXO,MATCH("CaC",TANEXO_TIPO,),MATCH("CNV_"&amp;Inicio!$AB$1,TANEXO_CAMPOS,))</f>
        <v>1</v>
      </c>
      <c r="L11" s="363"/>
      <c r="M11" s="451">
        <f>IF(G15&lt;&gt;0,G15*H15*J11,"")</f>
      </c>
      <c r="T11" s="40"/>
      <c r="U11" s="40"/>
      <c r="W11" s="40"/>
    </row>
    <row r="12" spans="2:13" ht="12.75">
      <c r="B12" s="363"/>
      <c r="C12" s="454"/>
      <c r="D12" s="457"/>
      <c r="E12" s="24" t="s">
        <v>45</v>
      </c>
      <c r="F12" s="100"/>
      <c r="G12" s="207">
        <f>$C$11*F12/100</f>
        <v>0</v>
      </c>
      <c r="H12" s="26">
        <v>0.522</v>
      </c>
      <c r="I12" s="457"/>
      <c r="J12" s="459"/>
      <c r="K12" s="461"/>
      <c r="L12" s="364"/>
      <c r="M12" s="452"/>
    </row>
    <row r="13" spans="2:13" ht="12.75">
      <c r="B13" s="364"/>
      <c r="C13" s="454"/>
      <c r="D13" s="457"/>
      <c r="E13" s="227"/>
      <c r="F13" s="100"/>
      <c r="G13" s="207">
        <f>$C$11*F13/100</f>
        <v>0</v>
      </c>
      <c r="H13" s="228"/>
      <c r="I13" s="457"/>
      <c r="J13" s="459"/>
      <c r="K13" s="461"/>
      <c r="L13" s="364"/>
      <c r="M13" s="452"/>
    </row>
    <row r="14" spans="2:13" ht="12.75">
      <c r="B14" s="365"/>
      <c r="C14" s="455"/>
      <c r="D14" s="458"/>
      <c r="E14" s="227"/>
      <c r="F14" s="100"/>
      <c r="G14" s="207">
        <f>$C$11*F14/100</f>
        <v>0</v>
      </c>
      <c r="H14" s="228"/>
      <c r="I14" s="458"/>
      <c r="J14" s="460"/>
      <c r="K14" s="462"/>
      <c r="L14" s="365"/>
      <c r="M14" s="453"/>
    </row>
    <row r="15" spans="2:12" ht="12.75">
      <c r="B15" s="13"/>
      <c r="C15" s="13"/>
      <c r="D15" s="13"/>
      <c r="E15" s="27" t="s">
        <v>51</v>
      </c>
      <c r="F15" s="13"/>
      <c r="G15" s="101">
        <f>SUM(G11:G14)</f>
        <v>0</v>
      </c>
      <c r="H15" s="288">
        <f>IF(G15&lt;&gt;0,(G11*H11+G12*H12+G13*H13+G14*H14)/G15,"")</f>
      </c>
      <c r="I15" s="13"/>
      <c r="J15" s="13"/>
      <c r="K15" s="13"/>
      <c r="L15" s="13"/>
    </row>
    <row r="16" spans="2:12" ht="12.75">
      <c r="B16" s="13"/>
      <c r="C16" s="13"/>
      <c r="D16" s="13"/>
      <c r="E16" s="13"/>
      <c r="F16" s="13"/>
      <c r="G16" s="13"/>
      <c r="H16" s="13" t="s">
        <v>52</v>
      </c>
      <c r="I16" s="13"/>
      <c r="J16" s="13"/>
      <c r="K16" s="13"/>
      <c r="L16" s="13"/>
    </row>
    <row r="19" spans="5:14" ht="12.75">
      <c r="E19" s="23"/>
      <c r="F19" s="23"/>
      <c r="G19" s="13"/>
      <c r="H19" s="13"/>
      <c r="I19" s="13"/>
      <c r="J19" s="13"/>
      <c r="K19" s="13"/>
      <c r="L19" s="13"/>
      <c r="M19" s="13"/>
      <c r="N19" s="13"/>
    </row>
    <row r="20" spans="2:13" ht="12.75">
      <c r="B20" s="464" t="s">
        <v>268</v>
      </c>
      <c r="C20" s="369" t="s">
        <v>33</v>
      </c>
      <c r="D20" s="383"/>
      <c r="E20" s="369" t="s">
        <v>272</v>
      </c>
      <c r="F20" s="383"/>
      <c r="G20" s="383"/>
      <c r="H20" s="383"/>
      <c r="I20" s="466"/>
      <c r="J20" s="369" t="s">
        <v>40</v>
      </c>
      <c r="K20" s="383"/>
      <c r="L20" s="466"/>
      <c r="M20" s="38" t="s">
        <v>96</v>
      </c>
    </row>
    <row r="21" spans="2:13" ht="21.75" customHeight="1">
      <c r="B21" s="465"/>
      <c r="C21" s="175" t="s">
        <v>269</v>
      </c>
      <c r="D21" s="176" t="s">
        <v>26</v>
      </c>
      <c r="E21" s="176" t="s">
        <v>42</v>
      </c>
      <c r="F21" s="176" t="s">
        <v>271</v>
      </c>
      <c r="G21" s="176" t="s">
        <v>43</v>
      </c>
      <c r="H21" s="282" t="s">
        <v>270</v>
      </c>
      <c r="I21" s="176" t="s">
        <v>26</v>
      </c>
      <c r="J21" s="176" t="s">
        <v>34</v>
      </c>
      <c r="K21" s="467" t="s">
        <v>26</v>
      </c>
      <c r="L21" s="468"/>
      <c r="M21" s="39" t="s">
        <v>97</v>
      </c>
    </row>
    <row r="22" spans="2:13" ht="21" customHeight="1">
      <c r="B22" s="178" t="s">
        <v>339</v>
      </c>
      <c r="C22" s="363"/>
      <c r="D22" s="456">
        <f>INDEX(TANEXO,MATCH("CaC",TANEXO_TIPO,),MATCH("ACT_"&amp;Inicio!$AB$1,TANEXO_CAMPOS,))</f>
        <v>2</v>
      </c>
      <c r="E22" s="24" t="s">
        <v>44</v>
      </c>
      <c r="F22" s="100"/>
      <c r="G22" s="207">
        <f>$C$22*F22/100</f>
        <v>0</v>
      </c>
      <c r="H22" s="25">
        <v>0.44</v>
      </c>
      <c r="I22" s="456">
        <f>INDEX(TANEXO,MATCH("CaC",TANEXO_TIPO,),MATCH("EMI_"&amp;Inicio!$AB$1,TANEXO_CAMPOS,))</f>
        <v>1</v>
      </c>
      <c r="J22" s="441">
        <f>IF($K22=1,1,IF($L22=1,1,""))</f>
        <v>1</v>
      </c>
      <c r="K22" s="456">
        <f>INDEX(TANEXO,MATCH("CaC",TANEXO_TIPO,),MATCH("CNV_"&amp;Inicio!$AB$1,TANEXO_CAMPOS,))</f>
        <v>1</v>
      </c>
      <c r="L22" s="363"/>
      <c r="M22" s="451">
        <f>IF(G26&lt;&gt;0,G26*H26*J22,"")</f>
      </c>
    </row>
    <row r="23" spans="2:13" ht="12.75">
      <c r="B23" s="363"/>
      <c r="C23" s="454"/>
      <c r="D23" s="457"/>
      <c r="E23" s="24" t="s">
        <v>45</v>
      </c>
      <c r="F23" s="100"/>
      <c r="G23" s="207">
        <f>$C$22*F23/100</f>
        <v>0</v>
      </c>
      <c r="H23" s="26">
        <v>0.522</v>
      </c>
      <c r="I23" s="457"/>
      <c r="J23" s="459"/>
      <c r="K23" s="461"/>
      <c r="L23" s="364"/>
      <c r="M23" s="452"/>
    </row>
    <row r="24" spans="2:13" ht="12.75">
      <c r="B24" s="364"/>
      <c r="C24" s="454"/>
      <c r="D24" s="457"/>
      <c r="E24" s="226"/>
      <c r="F24" s="100"/>
      <c r="G24" s="207">
        <f>$C$22*F24/100</f>
        <v>0</v>
      </c>
      <c r="H24" s="228"/>
      <c r="I24" s="457"/>
      <c r="J24" s="459"/>
      <c r="K24" s="461"/>
      <c r="L24" s="364"/>
      <c r="M24" s="452"/>
    </row>
    <row r="25" spans="2:13" ht="12.75" customHeight="1">
      <c r="B25" s="365"/>
      <c r="C25" s="455"/>
      <c r="D25" s="458"/>
      <c r="E25" s="226"/>
      <c r="F25" s="100"/>
      <c r="G25" s="207">
        <f>$C$22*F25/100</f>
        <v>0</v>
      </c>
      <c r="H25" s="228"/>
      <c r="I25" s="458"/>
      <c r="J25" s="460"/>
      <c r="K25" s="462"/>
      <c r="L25" s="365"/>
      <c r="M25" s="453"/>
    </row>
    <row r="26" spans="2:12" ht="12.75">
      <c r="B26" s="13"/>
      <c r="C26" s="13"/>
      <c r="D26" s="13"/>
      <c r="E26" s="27" t="s">
        <v>51</v>
      </c>
      <c r="F26" s="13"/>
      <c r="G26" s="101">
        <f>SUM(G22:G25)</f>
        <v>0</v>
      </c>
      <c r="H26" s="288">
        <f>IF(G26&lt;&gt;0,(G22*H22+G23*H23+G24*H24+G25*H25)/G26,"")</f>
      </c>
      <c r="I26" s="13"/>
      <c r="J26" s="13"/>
      <c r="K26" s="13"/>
      <c r="L26" s="13"/>
    </row>
    <row r="27" spans="2:12" ht="12.75" customHeight="1">
      <c r="B27" s="13"/>
      <c r="C27" s="13"/>
      <c r="D27" s="13"/>
      <c r="E27" s="13"/>
      <c r="F27" s="13"/>
      <c r="G27" s="13"/>
      <c r="H27" s="13" t="s">
        <v>52</v>
      </c>
      <c r="I27" s="13"/>
      <c r="J27" s="13"/>
      <c r="K27" s="13"/>
      <c r="L27" s="13"/>
    </row>
    <row r="30" ht="12.75">
      <c r="P30" s="232" t="e">
        <f>IF(M11&lt;&gt;0,M11,0)+IF(M22&lt;&gt;0,0,M22)</f>
        <v>#VALUE!</v>
      </c>
    </row>
    <row r="31" spans="2:8" ht="12.75">
      <c r="B31" s="386" t="s">
        <v>106</v>
      </c>
      <c r="C31" s="375"/>
      <c r="D31" s="375"/>
      <c r="E31" s="375"/>
      <c r="F31" s="356"/>
      <c r="G31" s="141">
        <f>IF(ISERROR($P30),"",$P30)</f>
      </c>
      <c r="H31" s="179"/>
    </row>
    <row r="41" ht="12.75" customHeight="1"/>
    <row r="42" ht="12.75" customHeight="1"/>
    <row r="44" ht="12.75" customHeight="1"/>
    <row r="59" ht="12.75" customHeight="1"/>
    <row r="74" ht="12.75">
      <c r="K74" s="102" t="e">
        <f>IF(#REF!="",0,#REF!)+IF(#REF!="",0,-#REF!)+IF(#REF!="",0,#REF!)+IF(#REF!="",0,-#REF!)</f>
        <v>#REF!</v>
      </c>
    </row>
    <row r="78" spans="2:7" ht="12.75">
      <c r="B78" s="463"/>
      <c r="C78" s="325"/>
      <c r="D78" s="325"/>
      <c r="E78" s="325"/>
      <c r="F78" s="325"/>
      <c r="G78" s="294"/>
    </row>
  </sheetData>
  <sheetProtection password="D51C" sheet="1" objects="1" scenarios="1"/>
  <mergeCells count="29">
    <mergeCell ref="C5:H5"/>
    <mergeCell ref="C9:D9"/>
    <mergeCell ref="E9:I9"/>
    <mergeCell ref="B31:F31"/>
    <mergeCell ref="B9:B10"/>
    <mergeCell ref="J9:L9"/>
    <mergeCell ref="C11:C14"/>
    <mergeCell ref="I11:I14"/>
    <mergeCell ref="J11:J14"/>
    <mergeCell ref="K10:L10"/>
    <mergeCell ref="B78:F78"/>
    <mergeCell ref="M11:M14"/>
    <mergeCell ref="B12:B14"/>
    <mergeCell ref="B20:B21"/>
    <mergeCell ref="C20:D20"/>
    <mergeCell ref="E20:I20"/>
    <mergeCell ref="J20:L20"/>
    <mergeCell ref="K21:L21"/>
    <mergeCell ref="D11:D14"/>
    <mergeCell ref="K11:K14"/>
    <mergeCell ref="L11:L14"/>
    <mergeCell ref="M22:M25"/>
    <mergeCell ref="B23:B25"/>
    <mergeCell ref="C22:C25"/>
    <mergeCell ref="I22:I25"/>
    <mergeCell ref="J22:J25"/>
    <mergeCell ref="K22:K25"/>
    <mergeCell ref="D22:D25"/>
    <mergeCell ref="L22:L25"/>
  </mergeCells>
  <printOptions horizontalCentered="1" verticalCentered="1"/>
  <pageMargins left="0.75" right="0.75" top="1" bottom="1" header="0" footer="0"/>
  <pageSetup blackAndWhite="1" horizontalDpi="600" verticalDpi="600" orientation="landscape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"/>
  <dimension ref="A1:AA119"/>
  <sheetViews>
    <sheetView showGridLines="0" showRowColHeaders="0" zoomScalePageLayoutView="0" workbookViewId="0" topLeftCell="A1">
      <pane ySplit="6" topLeftCell="A7" activePane="bottomLeft" state="frozen"/>
      <selection pane="topLeft" activeCell="A1" sqref="A1"/>
      <selection pane="bottomLeft" activeCell="B12" sqref="B12:B22"/>
    </sheetView>
  </sheetViews>
  <sheetFormatPr defaultColWidth="11.421875" defaultRowHeight="12.75"/>
  <cols>
    <col min="1" max="1" width="17.421875" style="12" customWidth="1"/>
    <col min="2" max="2" width="11.28125" style="12" customWidth="1"/>
    <col min="3" max="6" width="11.421875" style="12" customWidth="1"/>
    <col min="7" max="7" width="12.8515625" style="12" customWidth="1"/>
    <col min="8" max="9" width="12.28125" style="12" customWidth="1"/>
    <col min="10" max="10" width="13.57421875" style="12" customWidth="1"/>
    <col min="11" max="11" width="13.28125" style="12" customWidth="1"/>
    <col min="12" max="12" width="12.7109375" style="12" hidden="1" customWidth="1"/>
    <col min="13" max="23" width="11.421875" style="12" hidden="1" customWidth="1"/>
    <col min="24" max="33" width="11.421875" style="12" customWidth="1"/>
    <col min="34" max="34" width="15.00390625" style="12" customWidth="1"/>
    <col min="35" max="16384" width="11.421875" style="12" customWidth="1"/>
  </cols>
  <sheetData>
    <row r="1" spans="1:3" ht="12.75">
      <c r="A1" s="157" t="s">
        <v>273</v>
      </c>
      <c r="B1" s="41"/>
      <c r="C1" s="41"/>
    </row>
    <row r="2" spans="1:3" ht="12.75">
      <c r="A2" s="157" t="s">
        <v>345</v>
      </c>
      <c r="B2" s="41"/>
      <c r="C2" s="41"/>
    </row>
    <row r="4" spans="1:4" ht="12.75">
      <c r="A4" s="29" t="s">
        <v>103</v>
      </c>
      <c r="B4" s="30"/>
      <c r="C4" s="30"/>
      <c r="D4" s="30"/>
    </row>
    <row r="5" spans="1:5" ht="14.25">
      <c r="A5" s="15" t="s">
        <v>98</v>
      </c>
      <c r="B5" s="16"/>
      <c r="C5" s="16"/>
      <c r="D5" s="16"/>
      <c r="E5" s="16"/>
    </row>
    <row r="6" spans="1:11" s="60" customFormat="1" ht="12.75">
      <c r="A6" s="58" t="s">
        <v>117</v>
      </c>
      <c r="B6" s="59"/>
      <c r="C6" s="433">
        <f>IF(Inicio!M12&lt;&gt;0,Inicio!M12,"")</f>
      </c>
      <c r="D6" s="433"/>
      <c r="E6" s="433"/>
      <c r="F6" s="433"/>
      <c r="G6" s="433"/>
      <c r="H6" s="433"/>
      <c r="I6" s="59"/>
      <c r="J6" s="59"/>
      <c r="K6" s="59"/>
    </row>
    <row r="7" ht="12.75">
      <c r="A7" s="157" t="s">
        <v>329</v>
      </c>
    </row>
    <row r="8" spans="1:13" ht="12.7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</row>
    <row r="9" spans="1:27" ht="12.75" customHeight="1">
      <c r="A9" s="174" t="s">
        <v>281</v>
      </c>
      <c r="B9" s="13"/>
      <c r="C9" s="13"/>
      <c r="D9" s="13"/>
      <c r="E9" s="13"/>
      <c r="F9" s="13"/>
      <c r="G9" s="13"/>
      <c r="H9" s="13"/>
      <c r="I9" s="13"/>
      <c r="J9" s="112"/>
      <c r="K9" s="112"/>
      <c r="L9" s="113"/>
      <c r="M9" s="13"/>
      <c r="S9" s="65"/>
      <c r="T9" s="40"/>
      <c r="V9" s="40"/>
      <c r="W9" s="40"/>
      <c r="X9" s="40"/>
      <c r="Y9" s="40"/>
      <c r="Z9" s="40"/>
      <c r="AA9" s="40"/>
    </row>
    <row r="10" spans="1:27" ht="17.25" customHeight="1">
      <c r="A10" s="479" t="s">
        <v>291</v>
      </c>
      <c r="B10" s="501" t="s">
        <v>33</v>
      </c>
      <c r="C10" s="502"/>
      <c r="D10" s="502"/>
      <c r="E10" s="502"/>
      <c r="F10" s="502"/>
      <c r="G10" s="503"/>
      <c r="H10" s="501" t="s">
        <v>294</v>
      </c>
      <c r="I10" s="503"/>
      <c r="J10" s="200" t="s">
        <v>293</v>
      </c>
      <c r="K10" s="112"/>
      <c r="L10" s="113"/>
      <c r="M10" s="13"/>
      <c r="S10" s="65"/>
      <c r="T10" s="65"/>
      <c r="V10" s="65"/>
      <c r="W10" s="40"/>
      <c r="X10" s="40"/>
      <c r="Y10" s="40"/>
      <c r="Z10" s="40"/>
      <c r="AA10" s="40"/>
    </row>
    <row r="11" spans="1:22" ht="17.25" customHeight="1">
      <c r="A11" s="496"/>
      <c r="B11" s="467" t="s">
        <v>26</v>
      </c>
      <c r="C11" s="468"/>
      <c r="D11" s="176" t="s">
        <v>41</v>
      </c>
      <c r="E11" s="176" t="s">
        <v>42</v>
      </c>
      <c r="F11" s="176" t="s">
        <v>271</v>
      </c>
      <c r="G11" s="176" t="s">
        <v>43</v>
      </c>
      <c r="H11" s="176" t="s">
        <v>26</v>
      </c>
      <c r="I11" s="176" t="s">
        <v>107</v>
      </c>
      <c r="J11" s="176" t="s">
        <v>107</v>
      </c>
      <c r="K11" s="112"/>
      <c r="L11" s="113"/>
      <c r="M11" s="13"/>
      <c r="S11" s="40"/>
      <c r="T11" s="40"/>
      <c r="V11" s="40"/>
    </row>
    <row r="12" spans="1:13" ht="12.75">
      <c r="A12" s="498" t="s">
        <v>238</v>
      </c>
      <c r="B12" s="486">
        <f>INDEX(TANEXO,MATCH("CmC",TANEXO_TIPO,),MATCH("ACT_"&amp;Inicio!$AB$1,TANEXO_CAMPOS,))</f>
        <v>1</v>
      </c>
      <c r="C12" s="363"/>
      <c r="D12" s="363"/>
      <c r="E12" s="201" t="s">
        <v>44</v>
      </c>
      <c r="F12" s="208"/>
      <c r="G12" s="291">
        <f aca="true" t="shared" si="0" ref="G12:G22">$D$12*F12/100</f>
        <v>0</v>
      </c>
      <c r="H12" s="486">
        <f>INDEX(TANEXO,MATCH("CmC",TANEXO_TIPO,),MATCH("EMI_"&amp;Inicio!$AB$1,TANEXO_CAMPOS,))</f>
        <v>2</v>
      </c>
      <c r="I12" s="197">
        <v>0.44</v>
      </c>
      <c r="J12" s="489">
        <f>IF(ISERROR($O23),"",$O23)</f>
      </c>
      <c r="K12" s="112"/>
      <c r="L12" s="113"/>
      <c r="M12" s="13"/>
    </row>
    <row r="13" spans="1:13" ht="12.75">
      <c r="A13" s="499"/>
      <c r="B13" s="487"/>
      <c r="C13" s="364"/>
      <c r="D13" s="364"/>
      <c r="E13" s="201" t="s">
        <v>45</v>
      </c>
      <c r="F13" s="208"/>
      <c r="G13" s="291">
        <f t="shared" si="0"/>
        <v>0</v>
      </c>
      <c r="H13" s="487"/>
      <c r="I13" s="201">
        <v>0.522</v>
      </c>
      <c r="J13" s="490"/>
      <c r="K13" s="112"/>
      <c r="L13" s="113"/>
      <c r="M13" s="13"/>
    </row>
    <row r="14" spans="1:13" ht="12.75">
      <c r="A14" s="499"/>
      <c r="B14" s="487"/>
      <c r="C14" s="364"/>
      <c r="D14" s="364"/>
      <c r="E14" s="201" t="s">
        <v>46</v>
      </c>
      <c r="F14" s="208"/>
      <c r="G14" s="291">
        <f t="shared" si="0"/>
        <v>0</v>
      </c>
      <c r="H14" s="487"/>
      <c r="I14" s="201">
        <v>0.415</v>
      </c>
      <c r="J14" s="490"/>
      <c r="K14" s="112"/>
      <c r="L14" s="113"/>
      <c r="M14" s="13"/>
    </row>
    <row r="15" spans="1:13" ht="12.75">
      <c r="A15" s="499"/>
      <c r="B15" s="487"/>
      <c r="C15" s="364"/>
      <c r="D15" s="364"/>
      <c r="E15" s="201" t="s">
        <v>47</v>
      </c>
      <c r="F15" s="208"/>
      <c r="G15" s="291">
        <f t="shared" si="0"/>
        <v>0</v>
      </c>
      <c r="H15" s="487"/>
      <c r="I15" s="201">
        <v>0.223</v>
      </c>
      <c r="J15" s="490"/>
      <c r="K15" s="112"/>
      <c r="L15" s="113"/>
      <c r="M15" s="13"/>
    </row>
    <row r="16" spans="1:13" ht="12.75">
      <c r="A16" s="499"/>
      <c r="B16" s="487"/>
      <c r="C16" s="364"/>
      <c r="D16" s="364"/>
      <c r="E16" s="201" t="s">
        <v>48</v>
      </c>
      <c r="F16" s="208"/>
      <c r="G16" s="291">
        <f t="shared" si="0"/>
        <v>0</v>
      </c>
      <c r="H16" s="487"/>
      <c r="I16" s="201">
        <v>0.318</v>
      </c>
      <c r="J16" s="490"/>
      <c r="K16" s="112"/>
      <c r="L16" s="113"/>
      <c r="M16" s="13"/>
    </row>
    <row r="17" spans="1:13" ht="12.75">
      <c r="A17" s="499"/>
      <c r="B17" s="487"/>
      <c r="C17" s="364"/>
      <c r="D17" s="364"/>
      <c r="E17" s="201" t="s">
        <v>49</v>
      </c>
      <c r="F17" s="208"/>
      <c r="G17" s="291">
        <f t="shared" si="0"/>
        <v>0</v>
      </c>
      <c r="H17" s="487"/>
      <c r="I17" s="201">
        <v>0.596</v>
      </c>
      <c r="J17" s="490"/>
      <c r="K17" s="112"/>
      <c r="L17" s="113"/>
      <c r="M17" s="13"/>
    </row>
    <row r="18" spans="1:13" ht="12.75">
      <c r="A18" s="499"/>
      <c r="B18" s="487"/>
      <c r="C18" s="364"/>
      <c r="D18" s="364"/>
      <c r="E18" s="201" t="s">
        <v>50</v>
      </c>
      <c r="F18" s="208"/>
      <c r="G18" s="291">
        <f t="shared" si="0"/>
        <v>0</v>
      </c>
      <c r="H18" s="487"/>
      <c r="I18" s="201">
        <v>0.298</v>
      </c>
      <c r="J18" s="490"/>
      <c r="K18" s="112"/>
      <c r="L18" s="113"/>
      <c r="M18" s="13"/>
    </row>
    <row r="19" spans="1:13" ht="12.75">
      <c r="A19" s="499"/>
      <c r="B19" s="487"/>
      <c r="C19" s="364"/>
      <c r="D19" s="364"/>
      <c r="E19" s="233"/>
      <c r="F19" s="208"/>
      <c r="G19" s="291">
        <f t="shared" si="0"/>
        <v>0</v>
      </c>
      <c r="H19" s="487"/>
      <c r="I19" s="233"/>
      <c r="J19" s="490"/>
      <c r="K19" s="112"/>
      <c r="L19" s="113"/>
      <c r="M19" s="13"/>
    </row>
    <row r="20" spans="1:13" ht="12.75">
      <c r="A20" s="499"/>
      <c r="B20" s="487"/>
      <c r="C20" s="364"/>
      <c r="D20" s="364"/>
      <c r="E20" s="233"/>
      <c r="F20" s="208"/>
      <c r="G20" s="291">
        <f t="shared" si="0"/>
        <v>0</v>
      </c>
      <c r="H20" s="487"/>
      <c r="I20" s="233"/>
      <c r="J20" s="490"/>
      <c r="K20" s="112"/>
      <c r="L20" s="113"/>
      <c r="M20" s="13"/>
    </row>
    <row r="21" spans="1:13" ht="12.75">
      <c r="A21" s="499"/>
      <c r="B21" s="487"/>
      <c r="C21" s="364"/>
      <c r="D21" s="364"/>
      <c r="E21" s="233"/>
      <c r="F21" s="208"/>
      <c r="G21" s="291">
        <f t="shared" si="0"/>
        <v>0</v>
      </c>
      <c r="H21" s="487"/>
      <c r="I21" s="233"/>
      <c r="J21" s="490"/>
      <c r="K21" s="112"/>
      <c r="L21" s="113"/>
      <c r="M21" s="13"/>
    </row>
    <row r="22" spans="1:13" ht="12.75">
      <c r="A22" s="500"/>
      <c r="B22" s="488"/>
      <c r="C22" s="365"/>
      <c r="D22" s="365"/>
      <c r="E22" s="233"/>
      <c r="F22" s="208"/>
      <c r="G22" s="291">
        <f t="shared" si="0"/>
        <v>0</v>
      </c>
      <c r="H22" s="488"/>
      <c r="I22" s="233"/>
      <c r="J22" s="491"/>
      <c r="K22" s="112"/>
      <c r="L22" s="113"/>
      <c r="M22" s="13"/>
    </row>
    <row r="23" spans="1:15" ht="12.75">
      <c r="A23" s="13"/>
      <c r="B23" s="13"/>
      <c r="C23" s="13"/>
      <c r="D23" s="13"/>
      <c r="E23" s="13"/>
      <c r="F23" s="13"/>
      <c r="G23" s="211">
        <f>SUM(G12:G22)</f>
        <v>0</v>
      </c>
      <c r="H23" s="112"/>
      <c r="I23" s="199">
        <f>IF(G23&lt;&gt;0,(G12*I12+G13*I13+G14*I14+G15*I15+G16*I16+G17*I17+G18*I18+G19*I19+G20*I20+G21*I21+G22*I22)/G23,"")</f>
      </c>
      <c r="J23" s="112"/>
      <c r="K23" s="112"/>
      <c r="M23" s="13"/>
      <c r="O23" s="212" t="e">
        <f>G23*I23</f>
        <v>#VALUE!</v>
      </c>
    </row>
    <row r="24" spans="1:13" ht="12.75">
      <c r="A24" s="13"/>
      <c r="B24" s="13"/>
      <c r="C24" s="13"/>
      <c r="D24" s="13"/>
      <c r="E24" s="13"/>
      <c r="F24" s="13"/>
      <c r="G24" s="202" t="s">
        <v>51</v>
      </c>
      <c r="H24" s="112"/>
      <c r="I24" s="492" t="s">
        <v>52</v>
      </c>
      <c r="J24" s="493"/>
      <c r="K24" s="112"/>
      <c r="L24" s="113"/>
      <c r="M24" s="13"/>
    </row>
    <row r="25" spans="1:13" ht="12.75" customHeight="1">
      <c r="A25" s="13"/>
      <c r="B25" s="13"/>
      <c r="C25" s="13"/>
      <c r="D25" s="13"/>
      <c r="E25" s="13"/>
      <c r="F25" s="112"/>
      <c r="G25" s="112"/>
      <c r="H25" s="112"/>
      <c r="I25" s="112"/>
      <c r="J25" s="113"/>
      <c r="K25" s="113"/>
      <c r="L25" s="113"/>
      <c r="M25" s="113"/>
    </row>
    <row r="26" spans="1:13" ht="12.75" customHeight="1">
      <c r="A26" s="174" t="s">
        <v>281</v>
      </c>
      <c r="B26" s="13"/>
      <c r="C26" s="112"/>
      <c r="D26" s="112"/>
      <c r="E26" s="112"/>
      <c r="F26" s="112"/>
      <c r="G26" s="112"/>
      <c r="H26" s="112"/>
      <c r="I26" s="112"/>
      <c r="J26" s="112"/>
      <c r="K26" s="112"/>
      <c r="L26" s="113"/>
      <c r="M26" s="113"/>
    </row>
    <row r="27" spans="1:13" ht="17.25" customHeight="1">
      <c r="A27" s="479" t="s">
        <v>236</v>
      </c>
      <c r="B27" s="469" t="s">
        <v>40</v>
      </c>
      <c r="C27" s="494"/>
      <c r="D27" s="494"/>
      <c r="E27" s="494"/>
      <c r="F27" s="494"/>
      <c r="G27" s="495"/>
      <c r="H27" s="497" t="s">
        <v>285</v>
      </c>
      <c r="I27" s="112"/>
      <c r="J27" s="112"/>
      <c r="K27" s="112"/>
      <c r="L27" s="113"/>
      <c r="M27" s="113"/>
    </row>
    <row r="28" spans="1:13" ht="17.25" customHeight="1">
      <c r="A28" s="496"/>
      <c r="B28" s="176" t="s">
        <v>26</v>
      </c>
      <c r="C28" s="176" t="s">
        <v>41</v>
      </c>
      <c r="D28" s="176" t="s">
        <v>42</v>
      </c>
      <c r="E28" s="176" t="s">
        <v>271</v>
      </c>
      <c r="F28" s="176" t="s">
        <v>43</v>
      </c>
      <c r="G28" s="176" t="s">
        <v>107</v>
      </c>
      <c r="H28" s="362"/>
      <c r="I28" s="112"/>
      <c r="J28" s="112"/>
      <c r="K28" s="112"/>
      <c r="L28" s="113"/>
      <c r="M28" s="113"/>
    </row>
    <row r="29" spans="1:13" ht="12.75">
      <c r="A29" s="498" t="s">
        <v>238</v>
      </c>
      <c r="B29" s="456">
        <v>2</v>
      </c>
      <c r="C29" s="363"/>
      <c r="D29" s="201" t="s">
        <v>44</v>
      </c>
      <c r="E29" s="208"/>
      <c r="F29" s="291">
        <f>$C$29*E29/100</f>
        <v>0</v>
      </c>
      <c r="G29" s="197">
        <v>0.44</v>
      </c>
      <c r="H29" s="489">
        <f>IF(ISERROR($O40),"",$O40)</f>
      </c>
      <c r="I29" s="112"/>
      <c r="J29" s="112"/>
      <c r="K29" s="112"/>
      <c r="L29" s="113"/>
      <c r="M29" s="113"/>
    </row>
    <row r="30" spans="1:13" ht="12.75">
      <c r="A30" s="499"/>
      <c r="B30" s="457"/>
      <c r="C30" s="364"/>
      <c r="D30" s="201" t="s">
        <v>45</v>
      </c>
      <c r="E30" s="208"/>
      <c r="F30" s="291">
        <f aca="true" t="shared" si="1" ref="F30:F39">$C$29*E30/100</f>
        <v>0</v>
      </c>
      <c r="G30" s="201">
        <v>0.522</v>
      </c>
      <c r="H30" s="490"/>
      <c r="I30" s="112"/>
      <c r="J30" s="112"/>
      <c r="K30" s="112"/>
      <c r="L30" s="113"/>
      <c r="M30" s="113"/>
    </row>
    <row r="31" spans="1:13" ht="12.75">
      <c r="A31" s="499"/>
      <c r="B31" s="457"/>
      <c r="C31" s="364"/>
      <c r="D31" s="201" t="s">
        <v>46</v>
      </c>
      <c r="E31" s="208"/>
      <c r="F31" s="291">
        <f t="shared" si="1"/>
        <v>0</v>
      </c>
      <c r="G31" s="201">
        <v>0.415</v>
      </c>
      <c r="H31" s="490"/>
      <c r="I31" s="112"/>
      <c r="J31" s="112"/>
      <c r="K31" s="112"/>
      <c r="L31" s="113"/>
      <c r="M31" s="113"/>
    </row>
    <row r="32" spans="1:13" ht="12.75">
      <c r="A32" s="499"/>
      <c r="B32" s="457"/>
      <c r="C32" s="364"/>
      <c r="D32" s="201" t="s">
        <v>47</v>
      </c>
      <c r="E32" s="208"/>
      <c r="F32" s="291">
        <f t="shared" si="1"/>
        <v>0</v>
      </c>
      <c r="G32" s="201">
        <v>0.223</v>
      </c>
      <c r="H32" s="490"/>
      <c r="I32" s="112"/>
      <c r="J32" s="112"/>
      <c r="K32" s="112"/>
      <c r="L32" s="113"/>
      <c r="M32" s="113"/>
    </row>
    <row r="33" spans="1:13" ht="12.75">
      <c r="A33" s="499"/>
      <c r="B33" s="457"/>
      <c r="C33" s="364"/>
      <c r="D33" s="201" t="s">
        <v>48</v>
      </c>
      <c r="E33" s="208"/>
      <c r="F33" s="291">
        <f t="shared" si="1"/>
        <v>0</v>
      </c>
      <c r="G33" s="201">
        <v>0.318</v>
      </c>
      <c r="H33" s="490"/>
      <c r="I33" s="112"/>
      <c r="J33" s="112"/>
      <c r="K33" s="112"/>
      <c r="L33" s="113"/>
      <c r="M33" s="113"/>
    </row>
    <row r="34" spans="1:13" ht="12.75">
      <c r="A34" s="499"/>
      <c r="B34" s="457"/>
      <c r="C34" s="364"/>
      <c r="D34" s="201" t="s">
        <v>49</v>
      </c>
      <c r="E34" s="208"/>
      <c r="F34" s="291">
        <f t="shared" si="1"/>
        <v>0</v>
      </c>
      <c r="G34" s="201">
        <v>0.596</v>
      </c>
      <c r="H34" s="490"/>
      <c r="I34" s="112"/>
      <c r="J34" s="112"/>
      <c r="K34" s="112"/>
      <c r="L34" s="113"/>
      <c r="M34" s="113"/>
    </row>
    <row r="35" spans="1:13" ht="12.75">
      <c r="A35" s="499"/>
      <c r="B35" s="457"/>
      <c r="C35" s="364"/>
      <c r="D35" s="201" t="s">
        <v>50</v>
      </c>
      <c r="E35" s="208"/>
      <c r="F35" s="291">
        <f t="shared" si="1"/>
        <v>0</v>
      </c>
      <c r="G35" s="201">
        <v>0.298</v>
      </c>
      <c r="H35" s="490"/>
      <c r="I35" s="112"/>
      <c r="J35" s="112"/>
      <c r="K35" s="112"/>
      <c r="L35" s="113"/>
      <c r="M35" s="113"/>
    </row>
    <row r="36" spans="1:13" ht="12.75">
      <c r="A36" s="499"/>
      <c r="B36" s="457"/>
      <c r="C36" s="364"/>
      <c r="D36" s="233"/>
      <c r="E36" s="208"/>
      <c r="F36" s="291">
        <f t="shared" si="1"/>
        <v>0</v>
      </c>
      <c r="G36" s="233"/>
      <c r="H36" s="490"/>
      <c r="I36" s="112"/>
      <c r="J36" s="112"/>
      <c r="K36" s="112"/>
      <c r="L36" s="113"/>
      <c r="M36" s="113"/>
    </row>
    <row r="37" spans="1:13" ht="12.75">
      <c r="A37" s="499"/>
      <c r="B37" s="457"/>
      <c r="C37" s="364"/>
      <c r="D37" s="233"/>
      <c r="E37" s="208"/>
      <c r="F37" s="291">
        <f t="shared" si="1"/>
        <v>0</v>
      </c>
      <c r="G37" s="233"/>
      <c r="H37" s="490"/>
      <c r="I37" s="112"/>
      <c r="J37" s="112"/>
      <c r="K37" s="112"/>
      <c r="L37" s="113"/>
      <c r="M37" s="113"/>
    </row>
    <row r="38" spans="1:13" ht="12.75">
      <c r="A38" s="499"/>
      <c r="B38" s="457"/>
      <c r="C38" s="364"/>
      <c r="D38" s="233"/>
      <c r="E38" s="208"/>
      <c r="F38" s="291">
        <f t="shared" si="1"/>
        <v>0</v>
      </c>
      <c r="G38" s="233"/>
      <c r="H38" s="490"/>
      <c r="I38" s="112"/>
      <c r="J38" s="112"/>
      <c r="K38" s="112"/>
      <c r="L38" s="113"/>
      <c r="M38" s="113"/>
    </row>
    <row r="39" spans="1:13" ht="12.75">
      <c r="A39" s="500"/>
      <c r="B39" s="458"/>
      <c r="C39" s="365"/>
      <c r="D39" s="233"/>
      <c r="E39" s="208"/>
      <c r="F39" s="291">
        <f t="shared" si="1"/>
        <v>0</v>
      </c>
      <c r="G39" s="233"/>
      <c r="H39" s="491"/>
      <c r="I39" s="112"/>
      <c r="J39" s="112"/>
      <c r="K39" s="112"/>
      <c r="L39" s="113"/>
      <c r="M39" s="113"/>
    </row>
    <row r="40" spans="1:15" ht="12.75">
      <c r="A40" s="13"/>
      <c r="B40" s="202"/>
      <c r="C40" s="112"/>
      <c r="D40" s="112"/>
      <c r="E40" s="112"/>
      <c r="F40" s="211">
        <f>SUM(F29:F39)</f>
        <v>0</v>
      </c>
      <c r="G40" s="199">
        <f>IF(F40&lt;&gt;0,(F29*G29+F30*G30+F31*G31+F32*G32+F33*G33+F34*G34+F35*G35+F36*G36+F37*G37+F38*G38+F39*G39)/F40,"")</f>
      </c>
      <c r="H40" s="112"/>
      <c r="I40" s="112"/>
      <c r="J40" s="111"/>
      <c r="K40" s="113"/>
      <c r="L40" s="113"/>
      <c r="M40" s="113"/>
      <c r="O40" s="12" t="e">
        <f>F40*G40</f>
        <v>#VALUE!</v>
      </c>
    </row>
    <row r="41" spans="1:13" ht="12.75">
      <c r="A41" s="13"/>
      <c r="B41" s="202"/>
      <c r="C41" s="112"/>
      <c r="D41" s="112"/>
      <c r="E41" s="112"/>
      <c r="F41" s="202" t="s">
        <v>51</v>
      </c>
      <c r="G41" s="492" t="s">
        <v>52</v>
      </c>
      <c r="H41" s="393"/>
      <c r="I41" s="112"/>
      <c r="J41" s="112"/>
      <c r="K41" s="113"/>
      <c r="L41" s="113"/>
      <c r="M41" s="113"/>
    </row>
    <row r="42" spans="1:13" ht="12.75" customHeight="1">
      <c r="A42" s="13"/>
      <c r="B42" s="112"/>
      <c r="C42" s="202"/>
      <c r="D42" s="202"/>
      <c r="E42" s="112"/>
      <c r="F42" s="112"/>
      <c r="G42" s="112"/>
      <c r="H42" s="112"/>
      <c r="I42" s="112"/>
      <c r="J42" s="113"/>
      <c r="K42" s="113"/>
      <c r="L42" s="113"/>
      <c r="M42" s="113"/>
    </row>
    <row r="43" spans="1:15" ht="12.75">
      <c r="A43" s="473" t="s">
        <v>295</v>
      </c>
      <c r="B43" s="474"/>
      <c r="C43" s="474"/>
      <c r="D43" s="474"/>
      <c r="E43" s="474"/>
      <c r="F43" s="475"/>
      <c r="G43" s="199">
        <f>IF(ISERROR($O43),0,$O43)</f>
        <v>0</v>
      </c>
      <c r="H43" s="13"/>
      <c r="I43" s="112"/>
      <c r="J43" s="113"/>
      <c r="K43" s="113"/>
      <c r="M43" s="113"/>
      <c r="O43" s="113">
        <f>IF(J12="",0,J12)-IF(H29="",0,H29)</f>
        <v>0</v>
      </c>
    </row>
    <row r="44" spans="1:13" ht="12.75" customHeight="1">
      <c r="A44" s="13"/>
      <c r="B44" s="13"/>
      <c r="C44" s="17"/>
      <c r="D44" s="13"/>
      <c r="E44" s="13"/>
      <c r="F44" s="13"/>
      <c r="G44" s="13"/>
      <c r="H44" s="103"/>
      <c r="I44" s="112"/>
      <c r="J44" s="113"/>
      <c r="K44" s="113"/>
      <c r="L44" s="113"/>
      <c r="M44" s="113"/>
    </row>
    <row r="45" spans="1:13" ht="12.75" hidden="1">
      <c r="A45" s="13"/>
      <c r="B45" s="13"/>
      <c r="C45" s="13"/>
      <c r="D45" s="17"/>
      <c r="E45" s="13"/>
      <c r="F45" s="13"/>
      <c r="G45" s="13"/>
      <c r="H45" s="17"/>
      <c r="I45" s="13"/>
      <c r="J45" s="13"/>
      <c r="K45" s="13"/>
      <c r="L45" s="13"/>
      <c r="M45" s="13"/>
    </row>
    <row r="46" spans="1:13" ht="25.5" customHeight="1" hidden="1">
      <c r="A46" s="174" t="s">
        <v>292</v>
      </c>
      <c r="B46" s="13"/>
      <c r="C46" s="13"/>
      <c r="D46" s="13"/>
      <c r="E46" s="13"/>
      <c r="F46" s="13"/>
      <c r="G46" s="13"/>
      <c r="H46" s="112"/>
      <c r="I46" s="112"/>
      <c r="J46" s="13"/>
      <c r="K46" s="13"/>
      <c r="L46" s="13"/>
      <c r="M46" s="13"/>
    </row>
    <row r="47" spans="1:11" ht="17.25" customHeight="1" hidden="1">
      <c r="A47" s="479" t="s">
        <v>327</v>
      </c>
      <c r="B47" s="469" t="s">
        <v>33</v>
      </c>
      <c r="C47" s="470"/>
      <c r="D47" s="470"/>
      <c r="E47" s="470"/>
      <c r="F47" s="469" t="s">
        <v>284</v>
      </c>
      <c r="G47" s="470"/>
      <c r="H47" s="468"/>
      <c r="I47" s="471" t="s">
        <v>283</v>
      </c>
      <c r="J47" s="13"/>
      <c r="K47" s="13"/>
    </row>
    <row r="48" spans="1:11" ht="20.25" customHeight="1" hidden="1">
      <c r="A48" s="480"/>
      <c r="B48" s="304" t="s">
        <v>26</v>
      </c>
      <c r="C48" s="176" t="s">
        <v>83</v>
      </c>
      <c r="D48" s="266" t="s">
        <v>340</v>
      </c>
      <c r="E48" s="176" t="s">
        <v>280</v>
      </c>
      <c r="F48" s="467" t="s">
        <v>26</v>
      </c>
      <c r="G48" s="468"/>
      <c r="H48" s="176" t="s">
        <v>107</v>
      </c>
      <c r="I48" s="472"/>
      <c r="J48" s="13"/>
      <c r="K48" s="13"/>
    </row>
    <row r="49" spans="1:11" ht="39" customHeight="1" hidden="1">
      <c r="A49" s="195" t="s">
        <v>238</v>
      </c>
      <c r="B49" s="196">
        <f>INDEX(TANEXO,MATCH("CmC",TANEXO_TIPO,),MATCH("ACT_"&amp;Inicio!$AB$1,TANEXO_CAMPOS,))</f>
        <v>1</v>
      </c>
      <c r="C49" s="205"/>
      <c r="D49" s="205"/>
      <c r="E49" s="262">
        <f>(C49*D49)/100</f>
        <v>0</v>
      </c>
      <c r="F49" s="196">
        <f>INDEX(TANEXO,MATCH("CmC",TANEXO_TIPO,),MATCH("EMI_"&amp;Inicio!$AB$1,TANEXO_CAMPOS,))</f>
        <v>2</v>
      </c>
      <c r="G49" s="234"/>
      <c r="H49" s="203">
        <v>3.664</v>
      </c>
      <c r="I49" s="198">
        <f>IF(ISERROR($O50),0,$O50)</f>
        <v>0</v>
      </c>
      <c r="J49" s="13"/>
      <c r="K49" s="13"/>
    </row>
    <row r="50" spans="1:15" ht="12.75" customHeight="1" hidden="1">
      <c r="A50" s="256"/>
      <c r="B50" s="258"/>
      <c r="C50" s="259"/>
      <c r="D50" s="259"/>
      <c r="E50" s="258"/>
      <c r="F50" s="259"/>
      <c r="G50" s="257"/>
      <c r="H50" s="258"/>
      <c r="I50" s="259"/>
      <c r="J50" s="259"/>
      <c r="K50" s="260"/>
      <c r="M50" s="13"/>
      <c r="O50" s="13">
        <f>IF(E49&lt;&gt;"",E49*H49,"")</f>
        <v>0</v>
      </c>
    </row>
    <row r="51" spans="1:13" ht="12.75" customHeight="1" hidden="1">
      <c r="A51" s="256"/>
      <c r="B51" s="258"/>
      <c r="C51" s="259"/>
      <c r="D51" s="259"/>
      <c r="E51" s="258"/>
      <c r="F51" s="259"/>
      <c r="G51" s="257"/>
      <c r="H51" s="258"/>
      <c r="I51" s="259"/>
      <c r="J51" s="259"/>
      <c r="K51" s="260"/>
      <c r="L51" s="13"/>
      <c r="M51" s="13"/>
    </row>
    <row r="52" spans="1:13" ht="25.5" customHeight="1" hidden="1">
      <c r="A52" s="174" t="s">
        <v>292</v>
      </c>
      <c r="B52" s="112"/>
      <c r="C52" s="112"/>
      <c r="D52" s="13"/>
      <c r="E52" s="13"/>
      <c r="F52" s="13"/>
      <c r="G52" s="13"/>
      <c r="H52" s="112"/>
      <c r="I52" s="112"/>
      <c r="J52" s="13"/>
      <c r="K52" s="13"/>
      <c r="L52" s="13"/>
      <c r="M52" s="13"/>
    </row>
    <row r="53" spans="1:9" ht="17.25" customHeight="1" hidden="1">
      <c r="A53" s="479" t="s">
        <v>328</v>
      </c>
      <c r="B53" s="481" t="s">
        <v>40</v>
      </c>
      <c r="C53" s="470"/>
      <c r="D53" s="470"/>
      <c r="E53" s="468"/>
      <c r="F53" s="504" t="s">
        <v>344</v>
      </c>
      <c r="G53" s="504" t="s">
        <v>283</v>
      </c>
      <c r="H53" s="13"/>
      <c r="I53" s="13"/>
    </row>
    <row r="54" spans="1:9" ht="20.25" customHeight="1" hidden="1">
      <c r="A54" s="480"/>
      <c r="B54" s="177" t="s">
        <v>26</v>
      </c>
      <c r="C54" s="177" t="s">
        <v>340</v>
      </c>
      <c r="D54" s="282" t="s">
        <v>343</v>
      </c>
      <c r="E54" s="261" t="s">
        <v>280</v>
      </c>
      <c r="F54" s="505"/>
      <c r="G54" s="506"/>
      <c r="H54" s="13"/>
      <c r="I54" s="13"/>
    </row>
    <row r="55" spans="1:9" ht="39" customHeight="1" hidden="1">
      <c r="A55" s="195" t="s">
        <v>238</v>
      </c>
      <c r="B55" s="262">
        <v>2</v>
      </c>
      <c r="C55" s="283"/>
      <c r="D55" s="262">
        <f>C49</f>
        <v>0</v>
      </c>
      <c r="E55" s="262">
        <f>(C55*D55)/100</f>
        <v>0</v>
      </c>
      <c r="F55" s="203">
        <v>3.664</v>
      </c>
      <c r="G55" s="198">
        <f>IF(ISERROR($O57),0,$O57)</f>
        <v>0</v>
      </c>
      <c r="H55" s="13"/>
      <c r="I55" s="13"/>
    </row>
    <row r="56" spans="1:13" ht="12.75" hidden="1">
      <c r="A56" s="13"/>
      <c r="B56" s="13"/>
      <c r="C56" s="13"/>
      <c r="D56" s="13"/>
      <c r="E56" s="13"/>
      <c r="F56" s="13"/>
      <c r="G56" s="13"/>
      <c r="H56" s="112"/>
      <c r="I56" s="112"/>
      <c r="J56" s="13"/>
      <c r="K56" s="13"/>
      <c r="M56" s="13"/>
    </row>
    <row r="57" spans="1:15" ht="12.75" hidden="1">
      <c r="A57" s="473" t="s">
        <v>296</v>
      </c>
      <c r="B57" s="474"/>
      <c r="C57" s="474"/>
      <c r="D57" s="474"/>
      <c r="E57" s="474"/>
      <c r="F57" s="475"/>
      <c r="G57" s="199">
        <f>IF(ISERROR($O58),0,$O58)</f>
        <v>0</v>
      </c>
      <c r="H57" s="13"/>
      <c r="I57" s="13"/>
      <c r="J57" s="13"/>
      <c r="M57" s="13"/>
      <c r="O57" s="13">
        <f>IF(E55&lt;&gt;"",E55*F55,"")</f>
        <v>0</v>
      </c>
    </row>
    <row r="58" spans="1:15" ht="12.75" hidden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M58" s="13"/>
      <c r="O58" s="13">
        <f>IF(I49="",0,I49)-IF(G55="",0,G55)</f>
        <v>0</v>
      </c>
    </row>
    <row r="59" spans="1:15" ht="12.75">
      <c r="A59" s="473" t="s">
        <v>297</v>
      </c>
      <c r="B59" s="474"/>
      <c r="C59" s="474"/>
      <c r="D59" s="474"/>
      <c r="E59" s="474"/>
      <c r="F59" s="475"/>
      <c r="G59" s="199">
        <f>IF(ISERROR($O59),0,$O59)</f>
        <v>0</v>
      </c>
      <c r="H59" s="13"/>
      <c r="I59" s="13"/>
      <c r="J59" s="13"/>
      <c r="K59" s="13"/>
      <c r="M59" s="13"/>
      <c r="O59" s="213">
        <f>IF(G43="",0,G43)+IF(G57="",0,G57)</f>
        <v>0</v>
      </c>
    </row>
    <row r="60" spans="1:13" ht="12.75">
      <c r="A60" s="13"/>
      <c r="B60" s="13"/>
      <c r="C60" s="13"/>
      <c r="D60" s="13"/>
      <c r="E60" s="13"/>
      <c r="F60" s="13"/>
      <c r="G60" s="13"/>
      <c r="H60" s="209"/>
      <c r="I60" s="13"/>
      <c r="J60" s="13"/>
      <c r="K60" s="13"/>
      <c r="L60" s="13"/>
      <c r="M60" s="13"/>
    </row>
    <row r="62" spans="1:12" ht="12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</row>
    <row r="63" spans="1:12" ht="12.75">
      <c r="A63" s="174" t="s">
        <v>281</v>
      </c>
      <c r="B63" s="13"/>
      <c r="C63" s="13"/>
      <c r="D63" s="13"/>
      <c r="E63" s="13"/>
      <c r="F63" s="13"/>
      <c r="G63" s="13"/>
      <c r="H63" s="13"/>
      <c r="I63" s="13"/>
      <c r="J63" s="112"/>
      <c r="K63" s="112"/>
      <c r="L63" s="113"/>
    </row>
    <row r="64" spans="1:12" ht="17.25" customHeight="1">
      <c r="A64" s="479" t="s">
        <v>298</v>
      </c>
      <c r="B64" s="501" t="s">
        <v>33</v>
      </c>
      <c r="C64" s="502"/>
      <c r="D64" s="502"/>
      <c r="E64" s="502"/>
      <c r="F64" s="502"/>
      <c r="G64" s="503"/>
      <c r="H64" s="501" t="s">
        <v>294</v>
      </c>
      <c r="I64" s="503"/>
      <c r="J64" s="200" t="s">
        <v>293</v>
      </c>
      <c r="K64" s="112"/>
      <c r="L64" s="113"/>
    </row>
    <row r="65" spans="1:12" ht="17.25" customHeight="1">
      <c r="A65" s="496"/>
      <c r="B65" s="467" t="s">
        <v>26</v>
      </c>
      <c r="C65" s="468"/>
      <c r="D65" s="176" t="s">
        <v>41</v>
      </c>
      <c r="E65" s="176" t="s">
        <v>42</v>
      </c>
      <c r="F65" s="176" t="s">
        <v>271</v>
      </c>
      <c r="G65" s="176" t="s">
        <v>43</v>
      </c>
      <c r="H65" s="176" t="s">
        <v>26</v>
      </c>
      <c r="I65" s="176" t="s">
        <v>107</v>
      </c>
      <c r="J65" s="176" t="s">
        <v>107</v>
      </c>
      <c r="K65" s="112"/>
      <c r="L65" s="113"/>
    </row>
    <row r="66" spans="1:12" ht="12.75">
      <c r="A66" s="498" t="s">
        <v>239</v>
      </c>
      <c r="B66" s="486">
        <f>INDEX(TANEXO,MATCH("CmC",TANEXO_TIPO,),MATCH("ACT_"&amp;Inicio!$AB$1,TANEXO_CAMPOS,))</f>
        <v>1</v>
      </c>
      <c r="C66" s="363"/>
      <c r="D66" s="363"/>
      <c r="E66" s="201" t="s">
        <v>44</v>
      </c>
      <c r="F66" s="208"/>
      <c r="G66" s="291">
        <f>$D$66*F66/100</f>
        <v>0</v>
      </c>
      <c r="H66" s="486">
        <f>INDEX(TANEXO,MATCH("CmC",TANEXO_TIPO,),MATCH("EMI_"&amp;Inicio!$AB$1,TANEXO_CAMPOS,))</f>
        <v>2</v>
      </c>
      <c r="I66" s="197">
        <v>0.44</v>
      </c>
      <c r="J66" s="489">
        <f>IF(ISERROR($O77),"",$O77)</f>
      </c>
      <c r="K66" s="112"/>
      <c r="L66" s="113"/>
    </row>
    <row r="67" spans="1:12" ht="12.75">
      <c r="A67" s="499"/>
      <c r="B67" s="487"/>
      <c r="C67" s="364"/>
      <c r="D67" s="364"/>
      <c r="E67" s="201" t="s">
        <v>45</v>
      </c>
      <c r="F67" s="208"/>
      <c r="G67" s="291">
        <f aca="true" t="shared" si="2" ref="G67:G76">$D$66*F67/100</f>
        <v>0</v>
      </c>
      <c r="H67" s="487"/>
      <c r="I67" s="201">
        <v>0.522</v>
      </c>
      <c r="J67" s="490"/>
      <c r="K67" s="112"/>
      <c r="L67" s="113"/>
    </row>
    <row r="68" spans="1:12" ht="12.75">
      <c r="A68" s="499"/>
      <c r="B68" s="487"/>
      <c r="C68" s="364"/>
      <c r="D68" s="364"/>
      <c r="E68" s="201" t="s">
        <v>46</v>
      </c>
      <c r="F68" s="208"/>
      <c r="G68" s="291">
        <f t="shared" si="2"/>
        <v>0</v>
      </c>
      <c r="H68" s="487"/>
      <c r="I68" s="201">
        <v>0.415</v>
      </c>
      <c r="J68" s="490"/>
      <c r="K68" s="112"/>
      <c r="L68" s="113"/>
    </row>
    <row r="69" spans="1:12" ht="12.75">
      <c r="A69" s="499"/>
      <c r="B69" s="487"/>
      <c r="C69" s="364"/>
      <c r="D69" s="364"/>
      <c r="E69" s="201" t="s">
        <v>47</v>
      </c>
      <c r="F69" s="208"/>
      <c r="G69" s="291">
        <f t="shared" si="2"/>
        <v>0</v>
      </c>
      <c r="H69" s="487"/>
      <c r="I69" s="201">
        <v>0.223</v>
      </c>
      <c r="J69" s="490"/>
      <c r="K69" s="112"/>
      <c r="L69" s="113"/>
    </row>
    <row r="70" spans="1:12" ht="12.75">
      <c r="A70" s="499"/>
      <c r="B70" s="487"/>
      <c r="C70" s="364"/>
      <c r="D70" s="364"/>
      <c r="E70" s="201" t="s">
        <v>48</v>
      </c>
      <c r="F70" s="208"/>
      <c r="G70" s="291">
        <f t="shared" si="2"/>
        <v>0</v>
      </c>
      <c r="H70" s="487"/>
      <c r="I70" s="201">
        <v>0.318</v>
      </c>
      <c r="J70" s="490"/>
      <c r="K70" s="112"/>
      <c r="L70" s="113"/>
    </row>
    <row r="71" spans="1:12" ht="12.75">
      <c r="A71" s="499"/>
      <c r="B71" s="487"/>
      <c r="C71" s="364"/>
      <c r="D71" s="364"/>
      <c r="E71" s="201" t="s">
        <v>49</v>
      </c>
      <c r="F71" s="208"/>
      <c r="G71" s="291">
        <f t="shared" si="2"/>
        <v>0</v>
      </c>
      <c r="H71" s="487"/>
      <c r="I71" s="201">
        <v>0.596</v>
      </c>
      <c r="J71" s="490"/>
      <c r="K71" s="112"/>
      <c r="L71" s="113"/>
    </row>
    <row r="72" spans="1:12" ht="12.75">
      <c r="A72" s="499"/>
      <c r="B72" s="487"/>
      <c r="C72" s="364"/>
      <c r="D72" s="364"/>
      <c r="E72" s="201" t="s">
        <v>50</v>
      </c>
      <c r="F72" s="208"/>
      <c r="G72" s="291">
        <f t="shared" si="2"/>
        <v>0</v>
      </c>
      <c r="H72" s="487"/>
      <c r="I72" s="201">
        <v>0.298</v>
      </c>
      <c r="J72" s="490"/>
      <c r="K72" s="112"/>
      <c r="L72" s="113"/>
    </row>
    <row r="73" spans="1:12" ht="12.75">
      <c r="A73" s="499"/>
      <c r="B73" s="487"/>
      <c r="C73" s="364"/>
      <c r="D73" s="364"/>
      <c r="E73" s="233"/>
      <c r="F73" s="208"/>
      <c r="G73" s="291">
        <f t="shared" si="2"/>
        <v>0</v>
      </c>
      <c r="H73" s="487"/>
      <c r="I73" s="233"/>
      <c r="J73" s="490"/>
      <c r="K73" s="112"/>
      <c r="L73" s="113"/>
    </row>
    <row r="74" spans="1:12" ht="12.75">
      <c r="A74" s="499"/>
      <c r="B74" s="487"/>
      <c r="C74" s="364"/>
      <c r="D74" s="364"/>
      <c r="E74" s="233"/>
      <c r="F74" s="208"/>
      <c r="G74" s="291">
        <f t="shared" si="2"/>
        <v>0</v>
      </c>
      <c r="H74" s="487"/>
      <c r="I74" s="233"/>
      <c r="J74" s="490"/>
      <c r="K74" s="112"/>
      <c r="L74" s="113"/>
    </row>
    <row r="75" spans="1:12" ht="12.75">
      <c r="A75" s="499"/>
      <c r="B75" s="487"/>
      <c r="C75" s="364"/>
      <c r="D75" s="364"/>
      <c r="E75" s="233"/>
      <c r="F75" s="208"/>
      <c r="G75" s="291">
        <f t="shared" si="2"/>
        <v>0</v>
      </c>
      <c r="H75" s="487"/>
      <c r="I75" s="233"/>
      <c r="J75" s="490"/>
      <c r="K75" s="112"/>
      <c r="L75" s="113"/>
    </row>
    <row r="76" spans="1:12" ht="12.75">
      <c r="A76" s="500"/>
      <c r="B76" s="488"/>
      <c r="C76" s="365"/>
      <c r="D76" s="365"/>
      <c r="E76" s="233"/>
      <c r="F76" s="208"/>
      <c r="G76" s="291">
        <f t="shared" si="2"/>
        <v>0</v>
      </c>
      <c r="H76" s="488"/>
      <c r="I76" s="233"/>
      <c r="J76" s="491"/>
      <c r="K76" s="112"/>
      <c r="L76" s="113"/>
    </row>
    <row r="77" spans="1:15" ht="12.75">
      <c r="A77" s="13"/>
      <c r="B77" s="13"/>
      <c r="C77" s="13"/>
      <c r="D77" s="13"/>
      <c r="E77" s="13"/>
      <c r="F77" s="13"/>
      <c r="G77" s="211">
        <f>SUM(G66:G76)</f>
        <v>0</v>
      </c>
      <c r="H77" s="112"/>
      <c r="I77" s="199">
        <f>IF(G77&lt;&gt;0,(G66*I66+G67*I67+G68*I68+G69*I69+G70*I70+G71*I71+G72*I72+G73*I73+G74*I74+G75*I75+G76*I76)/G77,"")</f>
      </c>
      <c r="J77" s="112"/>
      <c r="K77" s="111"/>
      <c r="O77" s="221" t="e">
        <f>G77*I77</f>
        <v>#VALUE!</v>
      </c>
    </row>
    <row r="78" spans="1:12" ht="12.75">
      <c r="A78" s="13"/>
      <c r="B78" s="13"/>
      <c r="C78" s="13"/>
      <c r="D78" s="13"/>
      <c r="E78" s="13"/>
      <c r="F78" s="13"/>
      <c r="G78" s="202" t="s">
        <v>51</v>
      </c>
      <c r="H78" s="112"/>
      <c r="I78" s="492" t="s">
        <v>52</v>
      </c>
      <c r="J78" s="493"/>
      <c r="K78" s="112"/>
      <c r="L78" s="113"/>
    </row>
    <row r="79" spans="1:12" ht="12.75">
      <c r="A79" s="13"/>
      <c r="B79" s="13"/>
      <c r="C79" s="13"/>
      <c r="D79" s="13"/>
      <c r="E79" s="13"/>
      <c r="F79" s="112"/>
      <c r="G79" s="112"/>
      <c r="H79" s="112"/>
      <c r="I79" s="112"/>
      <c r="J79" s="113"/>
      <c r="K79" s="113"/>
      <c r="L79" s="113"/>
    </row>
    <row r="80" spans="1:12" ht="12.75">
      <c r="A80" s="174" t="s">
        <v>281</v>
      </c>
      <c r="B80" s="13"/>
      <c r="C80" s="112"/>
      <c r="D80" s="112"/>
      <c r="E80" s="112"/>
      <c r="F80" s="112"/>
      <c r="G80" s="112"/>
      <c r="H80" s="112"/>
      <c r="I80" s="112"/>
      <c r="J80" s="112"/>
      <c r="K80" s="112"/>
      <c r="L80" s="113"/>
    </row>
    <row r="81" spans="1:12" ht="17.25" customHeight="1">
      <c r="A81" s="479" t="s">
        <v>237</v>
      </c>
      <c r="B81" s="469" t="s">
        <v>40</v>
      </c>
      <c r="C81" s="494"/>
      <c r="D81" s="494"/>
      <c r="E81" s="494"/>
      <c r="F81" s="494"/>
      <c r="G81" s="495"/>
      <c r="H81" s="497" t="s">
        <v>285</v>
      </c>
      <c r="I81" s="112"/>
      <c r="J81" s="112"/>
      <c r="K81" s="112"/>
      <c r="L81" s="113"/>
    </row>
    <row r="82" spans="1:12" ht="17.25" customHeight="1">
      <c r="A82" s="496"/>
      <c r="B82" s="176" t="s">
        <v>26</v>
      </c>
      <c r="C82" s="176" t="s">
        <v>41</v>
      </c>
      <c r="D82" s="176" t="s">
        <v>42</v>
      </c>
      <c r="E82" s="176" t="s">
        <v>271</v>
      </c>
      <c r="F82" s="176" t="s">
        <v>43</v>
      </c>
      <c r="G82" s="176" t="s">
        <v>107</v>
      </c>
      <c r="H82" s="362"/>
      <c r="I82" s="112"/>
      <c r="J82" s="112"/>
      <c r="K82" s="112"/>
      <c r="L82" s="113"/>
    </row>
    <row r="83" spans="1:12" ht="12.75">
      <c r="A83" s="498" t="s">
        <v>239</v>
      </c>
      <c r="B83" s="456">
        <v>2</v>
      </c>
      <c r="C83" s="363"/>
      <c r="D83" s="201" t="s">
        <v>44</v>
      </c>
      <c r="E83" s="208"/>
      <c r="F83" s="291">
        <f>$C$83*E83/100</f>
        <v>0</v>
      </c>
      <c r="G83" s="197">
        <v>0.44</v>
      </c>
      <c r="H83" s="489">
        <f>IF(ISERROR($O94),"",$O94)</f>
      </c>
      <c r="I83" s="112"/>
      <c r="J83" s="112"/>
      <c r="K83" s="112"/>
      <c r="L83" s="113"/>
    </row>
    <row r="84" spans="1:12" ht="12.75">
      <c r="A84" s="499"/>
      <c r="B84" s="457"/>
      <c r="C84" s="364"/>
      <c r="D84" s="201" t="s">
        <v>45</v>
      </c>
      <c r="E84" s="208"/>
      <c r="F84" s="291">
        <f aca="true" t="shared" si="3" ref="F84:F93">$C$83*E84/100</f>
        <v>0</v>
      </c>
      <c r="G84" s="201">
        <v>0.522</v>
      </c>
      <c r="H84" s="490"/>
      <c r="I84" s="112"/>
      <c r="J84" s="112"/>
      <c r="K84" s="112"/>
      <c r="L84" s="113"/>
    </row>
    <row r="85" spans="1:12" ht="12.75">
      <c r="A85" s="499"/>
      <c r="B85" s="457"/>
      <c r="C85" s="364"/>
      <c r="D85" s="201" t="s">
        <v>46</v>
      </c>
      <c r="E85" s="208"/>
      <c r="F85" s="291">
        <f t="shared" si="3"/>
        <v>0</v>
      </c>
      <c r="G85" s="201">
        <v>0.415</v>
      </c>
      <c r="H85" s="490"/>
      <c r="I85" s="112"/>
      <c r="J85" s="112"/>
      <c r="K85" s="112"/>
      <c r="L85" s="113"/>
    </row>
    <row r="86" spans="1:12" ht="12.75">
      <c r="A86" s="499"/>
      <c r="B86" s="457"/>
      <c r="C86" s="364"/>
      <c r="D86" s="201" t="s">
        <v>47</v>
      </c>
      <c r="E86" s="208"/>
      <c r="F86" s="291">
        <f t="shared" si="3"/>
        <v>0</v>
      </c>
      <c r="G86" s="201">
        <v>0.223</v>
      </c>
      <c r="H86" s="490"/>
      <c r="I86" s="112"/>
      <c r="J86" s="112"/>
      <c r="K86" s="112"/>
      <c r="L86" s="113"/>
    </row>
    <row r="87" spans="1:12" ht="12.75">
      <c r="A87" s="499"/>
      <c r="B87" s="457"/>
      <c r="C87" s="364"/>
      <c r="D87" s="201" t="s">
        <v>48</v>
      </c>
      <c r="E87" s="208"/>
      <c r="F87" s="291">
        <f t="shared" si="3"/>
        <v>0</v>
      </c>
      <c r="G87" s="201">
        <v>0.318</v>
      </c>
      <c r="H87" s="490"/>
      <c r="I87" s="112"/>
      <c r="J87" s="112"/>
      <c r="K87" s="112"/>
      <c r="L87" s="113"/>
    </row>
    <row r="88" spans="1:12" ht="12.75">
      <c r="A88" s="499"/>
      <c r="B88" s="457"/>
      <c r="C88" s="364"/>
      <c r="D88" s="201" t="s">
        <v>49</v>
      </c>
      <c r="E88" s="208"/>
      <c r="F88" s="291">
        <f t="shared" si="3"/>
        <v>0</v>
      </c>
      <c r="G88" s="201">
        <v>0.596</v>
      </c>
      <c r="H88" s="490"/>
      <c r="I88" s="112"/>
      <c r="J88" s="112"/>
      <c r="K88" s="112"/>
      <c r="L88" s="113"/>
    </row>
    <row r="89" spans="1:12" ht="12.75">
      <c r="A89" s="499"/>
      <c r="B89" s="457"/>
      <c r="C89" s="364"/>
      <c r="D89" s="201" t="s">
        <v>50</v>
      </c>
      <c r="E89" s="208"/>
      <c r="F89" s="291">
        <f t="shared" si="3"/>
        <v>0</v>
      </c>
      <c r="G89" s="201">
        <v>0.298</v>
      </c>
      <c r="H89" s="490"/>
      <c r="I89" s="112"/>
      <c r="J89" s="112"/>
      <c r="K89" s="112"/>
      <c r="L89" s="113"/>
    </row>
    <row r="90" spans="1:12" ht="12.75">
      <c r="A90" s="499"/>
      <c r="B90" s="457"/>
      <c r="C90" s="364"/>
      <c r="D90" s="233"/>
      <c r="E90" s="208"/>
      <c r="F90" s="291">
        <f t="shared" si="3"/>
        <v>0</v>
      </c>
      <c r="G90" s="233"/>
      <c r="H90" s="490"/>
      <c r="I90" s="112"/>
      <c r="J90" s="112"/>
      <c r="K90" s="112"/>
      <c r="L90" s="113"/>
    </row>
    <row r="91" spans="1:12" ht="12.75">
      <c r="A91" s="499"/>
      <c r="B91" s="457"/>
      <c r="C91" s="364"/>
      <c r="D91" s="233"/>
      <c r="E91" s="208"/>
      <c r="F91" s="291">
        <f t="shared" si="3"/>
        <v>0</v>
      </c>
      <c r="G91" s="233"/>
      <c r="H91" s="490"/>
      <c r="I91" s="112"/>
      <c r="J91" s="112"/>
      <c r="K91" s="112"/>
      <c r="L91" s="113"/>
    </row>
    <row r="92" spans="1:12" ht="12.75">
      <c r="A92" s="499"/>
      <c r="B92" s="457"/>
      <c r="C92" s="364"/>
      <c r="D92" s="233"/>
      <c r="E92" s="208"/>
      <c r="F92" s="291">
        <f t="shared" si="3"/>
        <v>0</v>
      </c>
      <c r="G92" s="233"/>
      <c r="H92" s="490"/>
      <c r="I92" s="112"/>
      <c r="J92" s="112"/>
      <c r="K92" s="112"/>
      <c r="L92" s="113"/>
    </row>
    <row r="93" spans="1:12" ht="12.75">
      <c r="A93" s="500"/>
      <c r="B93" s="458"/>
      <c r="C93" s="365"/>
      <c r="D93" s="233"/>
      <c r="E93" s="208"/>
      <c r="F93" s="291">
        <f t="shared" si="3"/>
        <v>0</v>
      </c>
      <c r="G93" s="233"/>
      <c r="H93" s="491"/>
      <c r="I93" s="112"/>
      <c r="J93" s="112"/>
      <c r="K93" s="112"/>
      <c r="L93" s="113"/>
    </row>
    <row r="94" spans="1:15" ht="12.75">
      <c r="A94" s="13"/>
      <c r="B94" s="202"/>
      <c r="C94" s="112"/>
      <c r="D94" s="112"/>
      <c r="E94" s="112"/>
      <c r="F94" s="211">
        <f>SUM(F83:F93)</f>
        <v>0</v>
      </c>
      <c r="G94" s="199">
        <f>IF(F94&lt;&gt;0,(F83*G83+F84*G84+F85*G85+F86*G86+F87*G87+F88*G88+F89*G89+F90*G90+F91*G91+F92*G92+F93*G93)/F94,"")</f>
      </c>
      <c r="H94" s="112"/>
      <c r="I94" s="111"/>
      <c r="J94" s="111"/>
      <c r="K94" s="113"/>
      <c r="O94" s="113" t="e">
        <f>F94*G94</f>
        <v>#VALUE!</v>
      </c>
    </row>
    <row r="95" spans="1:12" ht="12.75">
      <c r="A95" s="13"/>
      <c r="B95" s="202"/>
      <c r="C95" s="112"/>
      <c r="D95" s="112"/>
      <c r="E95" s="112"/>
      <c r="F95" s="202" t="s">
        <v>51</v>
      </c>
      <c r="G95" s="492" t="s">
        <v>52</v>
      </c>
      <c r="H95" s="393"/>
      <c r="I95" s="112"/>
      <c r="J95" s="112"/>
      <c r="K95" s="113"/>
      <c r="L95" s="113"/>
    </row>
    <row r="96" spans="1:12" ht="12.75">
      <c r="A96" s="13"/>
      <c r="B96" s="112"/>
      <c r="C96" s="202"/>
      <c r="D96" s="202"/>
      <c r="E96" s="112"/>
      <c r="F96" s="112"/>
      <c r="G96" s="112"/>
      <c r="H96" s="112"/>
      <c r="I96" s="112"/>
      <c r="J96" s="113"/>
      <c r="K96" s="113"/>
      <c r="L96" s="113"/>
    </row>
    <row r="97" spans="1:15" ht="12.75">
      <c r="A97" s="473" t="s">
        <v>295</v>
      </c>
      <c r="B97" s="474"/>
      <c r="C97" s="474"/>
      <c r="D97" s="474"/>
      <c r="E97" s="474"/>
      <c r="F97" s="475"/>
      <c r="G97" s="199">
        <f>IF(ISERROR($O97),0,$O97)</f>
        <v>0</v>
      </c>
      <c r="H97" s="13"/>
      <c r="I97" s="112"/>
      <c r="J97" s="113"/>
      <c r="K97" s="113"/>
      <c r="O97" s="113">
        <f>IF(J66="",0,J66)-IF(H83="",0,H83)</f>
        <v>0</v>
      </c>
    </row>
    <row r="98" spans="1:12" ht="12.75">
      <c r="A98" s="13"/>
      <c r="B98" s="13"/>
      <c r="C98" s="17"/>
      <c r="D98" s="13"/>
      <c r="E98" s="13"/>
      <c r="F98" s="13"/>
      <c r="G98" s="103"/>
      <c r="H98" s="103"/>
      <c r="I98" s="112"/>
      <c r="J98" s="113"/>
      <c r="K98" s="113"/>
      <c r="L98" s="113"/>
    </row>
    <row r="99" spans="1:12" ht="12.75" hidden="1">
      <c r="A99" s="13"/>
      <c r="B99" s="13"/>
      <c r="C99" s="13"/>
      <c r="D99" s="17"/>
      <c r="E99" s="13"/>
      <c r="F99" s="13"/>
      <c r="G99" s="13"/>
      <c r="H99" s="17"/>
      <c r="I99" s="13"/>
      <c r="J99" s="13"/>
      <c r="K99" s="13"/>
      <c r="L99" s="13"/>
    </row>
    <row r="100" spans="1:12" ht="25.5" customHeight="1" hidden="1">
      <c r="A100" s="174" t="s">
        <v>292</v>
      </c>
      <c r="B100" s="13"/>
      <c r="C100" s="13"/>
      <c r="D100" s="13"/>
      <c r="E100" s="13"/>
      <c r="F100" s="13"/>
      <c r="G100" s="13"/>
      <c r="H100" s="112"/>
      <c r="I100" s="112"/>
      <c r="J100" s="13"/>
      <c r="K100" s="13"/>
      <c r="L100" s="13"/>
    </row>
    <row r="101" spans="1:10" ht="17.25" customHeight="1" hidden="1">
      <c r="A101" s="479" t="s">
        <v>331</v>
      </c>
      <c r="B101" s="469" t="s">
        <v>33</v>
      </c>
      <c r="C101" s="470"/>
      <c r="D101" s="470"/>
      <c r="E101" s="470"/>
      <c r="F101" s="469" t="s">
        <v>284</v>
      </c>
      <c r="G101" s="494"/>
      <c r="H101" s="495"/>
      <c r="I101" s="471" t="s">
        <v>283</v>
      </c>
      <c r="J101" s="13"/>
    </row>
    <row r="102" spans="1:10" ht="20.25" customHeight="1" hidden="1">
      <c r="A102" s="480"/>
      <c r="B102" s="304" t="s">
        <v>26</v>
      </c>
      <c r="C102" s="176" t="s">
        <v>83</v>
      </c>
      <c r="D102" s="266" t="s">
        <v>340</v>
      </c>
      <c r="E102" s="176" t="s">
        <v>280</v>
      </c>
      <c r="F102" s="467" t="s">
        <v>26</v>
      </c>
      <c r="G102" s="468"/>
      <c r="H102" s="176" t="s">
        <v>107</v>
      </c>
      <c r="I102" s="472"/>
      <c r="J102" s="13"/>
    </row>
    <row r="103" spans="1:10" ht="39" customHeight="1" hidden="1">
      <c r="A103" s="195" t="s">
        <v>239</v>
      </c>
      <c r="B103" s="196">
        <f>INDEX(TANEXO,MATCH("CmC",TANEXO_TIPO,),MATCH("ACT_"&amp;Inicio!$AB$1,TANEXO_CAMPOS,))</f>
        <v>1</v>
      </c>
      <c r="C103" s="205"/>
      <c r="D103" s="205"/>
      <c r="E103" s="262">
        <f>(C103*D103)/100</f>
        <v>0</v>
      </c>
      <c r="F103" s="196">
        <f>INDEX(TANEXO,MATCH("CmC",TANEXO_TIPO,),MATCH("EMI_"&amp;Inicio!$AB$1,TANEXO_CAMPOS,))</f>
        <v>2</v>
      </c>
      <c r="G103" s="235"/>
      <c r="H103" s="203">
        <v>3.664</v>
      </c>
      <c r="I103" s="198">
        <f>IF(ISERROR($O104),0,$O104)</f>
        <v>0</v>
      </c>
      <c r="J103" s="13"/>
    </row>
    <row r="104" spans="1:15" ht="12.75" customHeight="1" hidden="1">
      <c r="A104" s="256"/>
      <c r="B104" s="258"/>
      <c r="C104" s="259"/>
      <c r="D104" s="259"/>
      <c r="E104" s="258"/>
      <c r="F104" s="263"/>
      <c r="G104" s="257"/>
      <c r="H104" s="258"/>
      <c r="I104" s="263"/>
      <c r="J104" s="264"/>
      <c r="K104" s="260"/>
      <c r="O104" s="13">
        <f>IF(E103&lt;&gt;"",E103*H103,"")</f>
        <v>0</v>
      </c>
    </row>
    <row r="105" spans="1:12" ht="12.75" customHeight="1" hidden="1">
      <c r="A105" s="256"/>
      <c r="B105" s="258"/>
      <c r="C105" s="259"/>
      <c r="D105" s="259"/>
      <c r="E105" s="258"/>
      <c r="F105" s="263"/>
      <c r="G105" s="257"/>
      <c r="H105" s="258"/>
      <c r="I105" s="263"/>
      <c r="J105" s="264"/>
      <c r="K105" s="260"/>
      <c r="L105" s="13"/>
    </row>
    <row r="106" spans="1:13" ht="25.5" customHeight="1" hidden="1">
      <c r="A106" s="174" t="s">
        <v>292</v>
      </c>
      <c r="B106" s="112"/>
      <c r="C106" s="112"/>
      <c r="D106" s="13"/>
      <c r="E106" s="13"/>
      <c r="F106" s="13"/>
      <c r="G106" s="13"/>
      <c r="H106" s="112"/>
      <c r="I106" s="112"/>
      <c r="J106" s="13"/>
      <c r="K106" s="13"/>
      <c r="L106" s="13"/>
      <c r="M106" s="13"/>
    </row>
    <row r="107" spans="1:9" ht="17.25" customHeight="1" hidden="1">
      <c r="A107" s="479" t="s">
        <v>330</v>
      </c>
      <c r="B107" s="481" t="s">
        <v>40</v>
      </c>
      <c r="C107" s="470"/>
      <c r="D107" s="470"/>
      <c r="E107" s="468"/>
      <c r="F107" s="471" t="s">
        <v>346</v>
      </c>
      <c r="G107" s="471" t="s">
        <v>283</v>
      </c>
      <c r="H107" s="13"/>
      <c r="I107" s="13"/>
    </row>
    <row r="108" spans="1:9" ht="20.25" customHeight="1" hidden="1">
      <c r="A108" s="480"/>
      <c r="B108" s="177" t="s">
        <v>26</v>
      </c>
      <c r="C108" s="177" t="s">
        <v>341</v>
      </c>
      <c r="D108" s="282" t="s">
        <v>343</v>
      </c>
      <c r="E108" s="261" t="s">
        <v>280</v>
      </c>
      <c r="F108" s="482"/>
      <c r="G108" s="472"/>
      <c r="H108" s="13"/>
      <c r="I108" s="13"/>
    </row>
    <row r="109" spans="1:9" ht="39" customHeight="1" hidden="1">
      <c r="A109" s="195" t="s">
        <v>239</v>
      </c>
      <c r="B109" s="262">
        <v>2</v>
      </c>
      <c r="C109" s="283"/>
      <c r="D109" s="262">
        <f>C103</f>
        <v>0</v>
      </c>
      <c r="E109" s="262">
        <f>(C109*D109)/100</f>
        <v>0</v>
      </c>
      <c r="F109" s="203">
        <v>3.664</v>
      </c>
      <c r="G109" s="198">
        <f>IF(ISERROR($O113),0,$O113)</f>
        <v>0</v>
      </c>
      <c r="H109" s="13"/>
      <c r="I109" s="13"/>
    </row>
    <row r="110" spans="1:9" ht="12.75" customHeight="1" hidden="1">
      <c r="A110" s="256"/>
      <c r="B110" s="286"/>
      <c r="C110" s="259"/>
      <c r="D110" s="286"/>
      <c r="E110" s="286"/>
      <c r="F110" s="257"/>
      <c r="G110" s="260"/>
      <c r="H110" s="13"/>
      <c r="I110" s="13"/>
    </row>
    <row r="111" spans="1:9" ht="12.75" customHeight="1" hidden="1">
      <c r="A111" s="483" t="s">
        <v>296</v>
      </c>
      <c r="B111" s="484"/>
      <c r="C111" s="484"/>
      <c r="D111" s="484"/>
      <c r="E111" s="484"/>
      <c r="F111" s="485"/>
      <c r="G111" s="199">
        <f>IF(ISERROR($O112),0,$O112)</f>
        <v>0</v>
      </c>
      <c r="H111" s="13"/>
      <c r="I111" s="13"/>
    </row>
    <row r="112" spans="1:15" ht="12.75" hidden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O112" s="12">
        <f>IF(I103="",0,I103)-IF(G109="",0,G109)</f>
        <v>0</v>
      </c>
    </row>
    <row r="113" spans="1:15" ht="12.75">
      <c r="A113" s="473" t="s">
        <v>299</v>
      </c>
      <c r="B113" s="474"/>
      <c r="C113" s="474"/>
      <c r="D113" s="474"/>
      <c r="E113" s="474"/>
      <c r="F113" s="475"/>
      <c r="G113" s="199">
        <f>IF(ISERROR($O114),0,$O114)</f>
        <v>0</v>
      </c>
      <c r="H113" s="13"/>
      <c r="I113" s="13"/>
      <c r="J113" s="13"/>
      <c r="K113" s="13"/>
      <c r="O113" s="213">
        <f>IF(E109&lt;&gt;"",E109*F109,"")</f>
        <v>0</v>
      </c>
    </row>
    <row r="114" spans="1:15" ht="12.75">
      <c r="A114" s="13"/>
      <c r="B114" s="13"/>
      <c r="C114" s="13"/>
      <c r="D114" s="13"/>
      <c r="E114" s="13"/>
      <c r="F114" s="13"/>
      <c r="G114" s="213"/>
      <c r="H114" s="209"/>
      <c r="I114" s="13"/>
      <c r="J114" s="13"/>
      <c r="K114" s="13"/>
      <c r="O114" s="13">
        <f>IF(G97="",0,G97)+IF(G111="",0,G111)</f>
        <v>0</v>
      </c>
    </row>
    <row r="115" spans="1:12" ht="12.75">
      <c r="A115" s="13"/>
      <c r="B115" s="13"/>
      <c r="C115" s="13"/>
      <c r="D115" s="13"/>
      <c r="E115" s="13"/>
      <c r="F115" s="13"/>
      <c r="G115" s="13"/>
      <c r="H115" s="209"/>
      <c r="I115" s="13"/>
      <c r="J115" s="13"/>
      <c r="K115" s="13"/>
      <c r="L115" s="13"/>
    </row>
    <row r="117" spans="1:7" ht="12.75">
      <c r="A117" s="476" t="s">
        <v>282</v>
      </c>
      <c r="B117" s="477"/>
      <c r="C117" s="477"/>
      <c r="D117" s="477"/>
      <c r="E117" s="477"/>
      <c r="F117" s="478"/>
      <c r="G117" s="204">
        <f>IF(ISERROR($O119),"",$O119)</f>
        <v>0</v>
      </c>
    </row>
    <row r="119" spans="8:15" ht="12.75">
      <c r="H119" s="210"/>
      <c r="O119" s="223">
        <f>IF(G59="",0,G59)+IF(G113="",0,G113)</f>
        <v>0</v>
      </c>
    </row>
  </sheetData>
  <sheetProtection password="D51C" sheet="1" objects="1" scenarios="1"/>
  <mergeCells count="64">
    <mergeCell ref="C83:C93"/>
    <mergeCell ref="I101:I102"/>
    <mergeCell ref="G107:G108"/>
    <mergeCell ref="H83:H93"/>
    <mergeCell ref="G95:H95"/>
    <mergeCell ref="F102:G102"/>
    <mergeCell ref="A97:F97"/>
    <mergeCell ref="A101:A102"/>
    <mergeCell ref="B101:E101"/>
    <mergeCell ref="F101:H101"/>
    <mergeCell ref="A83:A93"/>
    <mergeCell ref="B83:B93"/>
    <mergeCell ref="H29:H39"/>
    <mergeCell ref="J66:J76"/>
    <mergeCell ref="I78:J78"/>
    <mergeCell ref="H66:H76"/>
    <mergeCell ref="F47:H47"/>
    <mergeCell ref="B53:E53"/>
    <mergeCell ref="F53:F54"/>
    <mergeCell ref="G53:G54"/>
    <mergeCell ref="B11:C11"/>
    <mergeCell ref="A10:A11"/>
    <mergeCell ref="B12:B22"/>
    <mergeCell ref="C12:C22"/>
    <mergeCell ref="B10:G10"/>
    <mergeCell ref="D12:D22"/>
    <mergeCell ref="A12:A22"/>
    <mergeCell ref="C6:H6"/>
    <mergeCell ref="A64:A65"/>
    <mergeCell ref="B64:G64"/>
    <mergeCell ref="H64:I64"/>
    <mergeCell ref="B65:C65"/>
    <mergeCell ref="A57:F57"/>
    <mergeCell ref="A59:F59"/>
    <mergeCell ref="G41:H41"/>
    <mergeCell ref="H10:I10"/>
    <mergeCell ref="A43:F43"/>
    <mergeCell ref="A81:A82"/>
    <mergeCell ref="B81:G81"/>
    <mergeCell ref="H81:H82"/>
    <mergeCell ref="A66:A76"/>
    <mergeCell ref="B66:B76"/>
    <mergeCell ref="C66:C76"/>
    <mergeCell ref="D66:D76"/>
    <mergeCell ref="A53:A54"/>
    <mergeCell ref="H12:H22"/>
    <mergeCell ref="J12:J22"/>
    <mergeCell ref="I24:J24"/>
    <mergeCell ref="B27:G27"/>
    <mergeCell ref="A27:A28"/>
    <mergeCell ref="H27:H28"/>
    <mergeCell ref="A29:A39"/>
    <mergeCell ref="B29:B39"/>
    <mergeCell ref="C29:C39"/>
    <mergeCell ref="B47:E47"/>
    <mergeCell ref="I47:I48"/>
    <mergeCell ref="A113:F113"/>
    <mergeCell ref="A117:F117"/>
    <mergeCell ref="A107:A108"/>
    <mergeCell ref="B107:E107"/>
    <mergeCell ref="F107:F108"/>
    <mergeCell ref="A111:F111"/>
    <mergeCell ref="A47:A48"/>
    <mergeCell ref="F48:G48"/>
  </mergeCells>
  <printOptions horizontalCentered="1" verticalCentered="1"/>
  <pageMargins left="0.75" right="0.75" top="0.7874015748031497" bottom="0.3937007874015748" header="0" footer="0"/>
  <pageSetup blackAndWhite="1" horizontalDpi="600" verticalDpi="600" orientation="landscape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2"/>
  <dimension ref="A1:K93"/>
  <sheetViews>
    <sheetView showGridLines="0" showRowColHeaders="0" zoomScalePageLayoutView="0" workbookViewId="0" topLeftCell="A1">
      <pane ySplit="6" topLeftCell="A7" activePane="bottomLeft" state="frozen"/>
      <selection pane="topLeft" activeCell="A1" sqref="A1"/>
      <selection pane="bottomLeft" activeCell="G40" sqref="G40"/>
    </sheetView>
  </sheetViews>
  <sheetFormatPr defaultColWidth="11.421875" defaultRowHeight="12.75"/>
  <cols>
    <col min="1" max="1" width="18.28125" style="12" customWidth="1"/>
    <col min="2" max="6" width="11.421875" style="12" customWidth="1"/>
    <col min="7" max="7" width="12.421875" style="12" customWidth="1"/>
    <col min="8" max="8" width="12.57421875" style="12" customWidth="1"/>
    <col min="9" max="9" width="15.7109375" style="12" customWidth="1"/>
    <col min="10" max="10" width="11.421875" style="12" customWidth="1"/>
    <col min="11" max="11" width="13.28125" style="12" hidden="1" customWidth="1"/>
    <col min="12" max="13" width="11.421875" style="12" hidden="1" customWidth="1"/>
    <col min="14" max="19" width="0" style="12" hidden="1" customWidth="1"/>
    <col min="20" max="33" width="11.421875" style="12" customWidth="1"/>
    <col min="34" max="34" width="15.00390625" style="12" customWidth="1"/>
    <col min="35" max="16384" width="11.421875" style="12" customWidth="1"/>
  </cols>
  <sheetData>
    <row r="1" spans="1:3" ht="15.75" customHeight="1">
      <c r="A1" s="157" t="s">
        <v>276</v>
      </c>
      <c r="B1" s="41"/>
      <c r="C1" s="41"/>
    </row>
    <row r="2" spans="1:3" ht="15.75" customHeight="1">
      <c r="A2" s="157" t="s">
        <v>277</v>
      </c>
      <c r="B2" s="41"/>
      <c r="C2" s="41"/>
    </row>
    <row r="4" spans="1:4" ht="12.75">
      <c r="A4" s="29" t="s">
        <v>103</v>
      </c>
      <c r="B4" s="30"/>
      <c r="C4" s="30"/>
      <c r="D4" s="30"/>
    </row>
    <row r="5" spans="1:5" ht="14.25">
      <c r="A5" s="15" t="s">
        <v>98</v>
      </c>
      <c r="B5" s="16"/>
      <c r="C5" s="16"/>
      <c r="D5" s="16"/>
      <c r="E5" s="16"/>
    </row>
    <row r="6" spans="1:11" s="60" customFormat="1" ht="12.75">
      <c r="A6" s="58" t="s">
        <v>117</v>
      </c>
      <c r="B6" s="59"/>
      <c r="C6" s="433">
        <f>IF(Inicio!M12&lt;&gt;0,Inicio!M12,"")</f>
      </c>
      <c r="D6" s="433"/>
      <c r="E6" s="433"/>
      <c r="F6" s="433"/>
      <c r="G6" s="433"/>
      <c r="H6" s="433"/>
      <c r="I6" s="59"/>
      <c r="J6" s="59"/>
      <c r="K6" s="59"/>
    </row>
    <row r="7" spans="1:10" ht="12.75">
      <c r="A7" s="157" t="s">
        <v>309</v>
      </c>
      <c r="B7" s="13"/>
      <c r="C7" s="13"/>
      <c r="D7" s="13"/>
      <c r="E7" s="13"/>
      <c r="F7" s="13"/>
      <c r="G7" s="13"/>
      <c r="H7" s="13"/>
      <c r="I7" s="13"/>
      <c r="J7" s="13"/>
    </row>
    <row r="8" spans="1:10" ht="12.7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ht="12.75" customHeight="1">
      <c r="A9" s="174" t="s">
        <v>278</v>
      </c>
      <c r="B9" s="13"/>
      <c r="C9" s="13"/>
      <c r="D9" s="13"/>
      <c r="E9" s="13"/>
      <c r="F9" s="13"/>
      <c r="G9" s="13"/>
      <c r="H9" s="112"/>
      <c r="I9" s="13"/>
      <c r="J9" s="13"/>
    </row>
    <row r="10" spans="1:11" ht="17.25" customHeight="1">
      <c r="A10" s="479" t="s">
        <v>279</v>
      </c>
      <c r="B10" s="369" t="s">
        <v>33</v>
      </c>
      <c r="C10" s="383"/>
      <c r="D10" s="383"/>
      <c r="E10" s="466"/>
      <c r="F10" s="507" t="s">
        <v>284</v>
      </c>
      <c r="G10" s="507"/>
      <c r="H10" s="507"/>
      <c r="I10" s="471" t="s">
        <v>283</v>
      </c>
      <c r="J10" s="13"/>
      <c r="K10" s="13"/>
    </row>
    <row r="11" spans="1:11" ht="17.25" customHeight="1">
      <c r="A11" s="496"/>
      <c r="B11" s="304" t="s">
        <v>26</v>
      </c>
      <c r="C11" s="176" t="s">
        <v>83</v>
      </c>
      <c r="D11" s="266" t="s">
        <v>340</v>
      </c>
      <c r="E11" s="176" t="s">
        <v>280</v>
      </c>
      <c r="F11" s="467" t="s">
        <v>26</v>
      </c>
      <c r="G11" s="508"/>
      <c r="H11" s="176" t="s">
        <v>107</v>
      </c>
      <c r="I11" s="362"/>
      <c r="J11" s="13"/>
      <c r="K11" s="13"/>
    </row>
    <row r="12" spans="1:11" ht="39" customHeight="1">
      <c r="A12" s="195" t="s">
        <v>238</v>
      </c>
      <c r="B12" s="196">
        <f>INDEX(TANEXO,MATCH("CmC",TANEXO_TIPO,),MATCH("ACT_"&amp;Inicio!$AB$1,TANEXO_CAMPOS,))</f>
        <v>1</v>
      </c>
      <c r="C12" s="205"/>
      <c r="D12" s="205"/>
      <c r="E12" s="205">
        <f>C12*D12/100</f>
        <v>0</v>
      </c>
      <c r="F12" s="196">
        <f>INDEX(TANEXO,MATCH("CmC",TANEXO_TIPO,),MATCH("EMI_"&amp;Inicio!$AB$1,TANEXO_CAMPOS,))</f>
        <v>2</v>
      </c>
      <c r="G12" s="235"/>
      <c r="H12" s="203">
        <v>3.664</v>
      </c>
      <c r="I12" s="198">
        <f>IF(ISERROR($K13),"",$K13)</f>
        <v>0</v>
      </c>
      <c r="J12" s="13"/>
      <c r="K12" s="13"/>
    </row>
    <row r="13" spans="1:11" ht="12.75">
      <c r="A13" s="13"/>
      <c r="B13" s="13"/>
      <c r="C13" s="13"/>
      <c r="D13" s="13"/>
      <c r="E13" s="13"/>
      <c r="F13" s="13"/>
      <c r="G13" s="13"/>
      <c r="H13" s="13"/>
      <c r="J13" s="13"/>
      <c r="K13" s="104">
        <f>IF(E12&lt;&gt;"",E12*H12,"")</f>
        <v>0</v>
      </c>
    </row>
    <row r="14" spans="1:10" ht="12.75">
      <c r="A14" s="473" t="s">
        <v>290</v>
      </c>
      <c r="B14" s="474"/>
      <c r="C14" s="474"/>
      <c r="D14" s="474"/>
      <c r="E14" s="474"/>
      <c r="F14" s="475"/>
      <c r="G14" s="199">
        <f>I12</f>
        <v>0</v>
      </c>
      <c r="H14" s="13"/>
      <c r="I14" s="13"/>
      <c r="J14" s="13"/>
    </row>
    <row r="15" spans="1:10" ht="12.75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9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4" customHeight="1">
      <c r="A17" s="509" t="s">
        <v>308</v>
      </c>
      <c r="B17" s="510"/>
      <c r="C17" s="510"/>
      <c r="D17" s="510"/>
      <c r="E17" s="510"/>
      <c r="F17" s="510"/>
      <c r="G17" s="510"/>
      <c r="H17" s="510"/>
      <c r="I17" s="13"/>
      <c r="J17" s="13"/>
    </row>
    <row r="18" spans="1:10" ht="12.75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2.75" customHeight="1">
      <c r="A19" s="174" t="s">
        <v>281</v>
      </c>
      <c r="B19" s="13"/>
      <c r="C19" s="112"/>
      <c r="D19" s="112"/>
      <c r="E19" s="112"/>
      <c r="F19" s="112"/>
      <c r="G19" s="112"/>
      <c r="H19" s="112"/>
      <c r="I19" s="13"/>
      <c r="J19" s="13"/>
    </row>
    <row r="20" spans="1:10" ht="17.25" customHeight="1">
      <c r="A20" s="479" t="s">
        <v>236</v>
      </c>
      <c r="B20" s="369" t="s">
        <v>40</v>
      </c>
      <c r="C20" s="383"/>
      <c r="D20" s="383"/>
      <c r="E20" s="383"/>
      <c r="F20" s="383"/>
      <c r="G20" s="466"/>
      <c r="H20" s="497" t="s">
        <v>285</v>
      </c>
      <c r="I20" s="13"/>
      <c r="J20" s="13"/>
    </row>
    <row r="21" spans="1:10" ht="17.25" customHeight="1">
      <c r="A21" s="496"/>
      <c r="B21" s="176" t="s">
        <v>26</v>
      </c>
      <c r="C21" s="176" t="s">
        <v>41</v>
      </c>
      <c r="D21" s="176" t="s">
        <v>42</v>
      </c>
      <c r="E21" s="176" t="s">
        <v>271</v>
      </c>
      <c r="F21" s="176" t="s">
        <v>43</v>
      </c>
      <c r="G21" s="176" t="s">
        <v>107</v>
      </c>
      <c r="H21" s="362"/>
      <c r="I21" s="13"/>
      <c r="J21" s="13"/>
    </row>
    <row r="22" spans="1:10" ht="12.75">
      <c r="A22" s="498" t="s">
        <v>238</v>
      </c>
      <c r="B22" s="456">
        <v>2</v>
      </c>
      <c r="C22" s="363"/>
      <c r="D22" s="201" t="s">
        <v>44</v>
      </c>
      <c r="E22" s="208"/>
      <c r="F22" s="206">
        <f>$C$22*$E22/100</f>
        <v>0</v>
      </c>
      <c r="G22" s="197">
        <v>0.44</v>
      </c>
      <c r="H22" s="515">
        <f>IF(ISERROR($K33),"",$K33)</f>
      </c>
      <c r="I22" s="13"/>
      <c r="J22" s="13"/>
    </row>
    <row r="23" spans="1:10" ht="12.75">
      <c r="A23" s="499"/>
      <c r="B23" s="457"/>
      <c r="C23" s="364"/>
      <c r="D23" s="201" t="s">
        <v>45</v>
      </c>
      <c r="E23" s="208"/>
      <c r="F23" s="206">
        <f aca="true" t="shared" si="0" ref="F23:F32">$C$22*E23/100</f>
        <v>0</v>
      </c>
      <c r="G23" s="201">
        <v>0.522</v>
      </c>
      <c r="H23" s="516"/>
      <c r="I23" s="13"/>
      <c r="J23" s="13"/>
    </row>
    <row r="24" spans="1:10" ht="12.75">
      <c r="A24" s="499"/>
      <c r="B24" s="457"/>
      <c r="C24" s="364"/>
      <c r="D24" s="201" t="s">
        <v>46</v>
      </c>
      <c r="E24" s="208"/>
      <c r="F24" s="206">
        <f t="shared" si="0"/>
        <v>0</v>
      </c>
      <c r="G24" s="201">
        <v>0.415</v>
      </c>
      <c r="H24" s="516"/>
      <c r="I24" s="13"/>
      <c r="J24" s="13"/>
    </row>
    <row r="25" spans="1:10" ht="12.75">
      <c r="A25" s="499"/>
      <c r="B25" s="457"/>
      <c r="C25" s="364"/>
      <c r="D25" s="201" t="s">
        <v>47</v>
      </c>
      <c r="E25" s="208"/>
      <c r="F25" s="206">
        <f t="shared" si="0"/>
        <v>0</v>
      </c>
      <c r="G25" s="201">
        <v>0.223</v>
      </c>
      <c r="H25" s="516"/>
      <c r="I25" s="13"/>
      <c r="J25" s="13"/>
    </row>
    <row r="26" spans="1:10" ht="12.75">
      <c r="A26" s="499"/>
      <c r="B26" s="457"/>
      <c r="C26" s="364"/>
      <c r="D26" s="201" t="s">
        <v>48</v>
      </c>
      <c r="E26" s="208"/>
      <c r="F26" s="206">
        <f t="shared" si="0"/>
        <v>0</v>
      </c>
      <c r="G26" s="201">
        <v>0.318</v>
      </c>
      <c r="H26" s="516"/>
      <c r="I26" s="13"/>
      <c r="J26" s="13"/>
    </row>
    <row r="27" spans="1:10" ht="12.75">
      <c r="A27" s="499"/>
      <c r="B27" s="457"/>
      <c r="C27" s="364"/>
      <c r="D27" s="201" t="s">
        <v>49</v>
      </c>
      <c r="E27" s="208"/>
      <c r="F27" s="206">
        <f t="shared" si="0"/>
        <v>0</v>
      </c>
      <c r="G27" s="201">
        <v>0.596</v>
      </c>
      <c r="H27" s="516"/>
      <c r="I27" s="13"/>
      <c r="J27" s="13"/>
    </row>
    <row r="28" spans="1:10" ht="12.75">
      <c r="A28" s="499"/>
      <c r="B28" s="457"/>
      <c r="C28" s="364"/>
      <c r="D28" s="201" t="s">
        <v>50</v>
      </c>
      <c r="E28" s="208"/>
      <c r="F28" s="206">
        <f t="shared" si="0"/>
        <v>0</v>
      </c>
      <c r="G28" s="201">
        <v>0.298</v>
      </c>
      <c r="H28" s="516"/>
      <c r="I28" s="13"/>
      <c r="J28" s="13"/>
    </row>
    <row r="29" spans="1:10" ht="12.75">
      <c r="A29" s="499"/>
      <c r="B29" s="457"/>
      <c r="C29" s="364"/>
      <c r="D29" s="217"/>
      <c r="E29" s="218"/>
      <c r="F29" s="218">
        <f t="shared" si="0"/>
        <v>0</v>
      </c>
      <c r="G29" s="217"/>
      <c r="H29" s="516"/>
      <c r="I29" s="13"/>
      <c r="J29" s="13"/>
    </row>
    <row r="30" spans="1:10" ht="12.75">
      <c r="A30" s="499"/>
      <c r="B30" s="457"/>
      <c r="C30" s="364"/>
      <c r="D30" s="217"/>
      <c r="E30" s="218"/>
      <c r="F30" s="218">
        <f t="shared" si="0"/>
        <v>0</v>
      </c>
      <c r="G30" s="217"/>
      <c r="H30" s="516"/>
      <c r="I30" s="13"/>
      <c r="J30" s="13"/>
    </row>
    <row r="31" spans="1:10" ht="12.75">
      <c r="A31" s="499"/>
      <c r="B31" s="457"/>
      <c r="C31" s="364"/>
      <c r="D31" s="217"/>
      <c r="E31" s="218"/>
      <c r="F31" s="218">
        <f t="shared" si="0"/>
        <v>0</v>
      </c>
      <c r="G31" s="217"/>
      <c r="H31" s="516"/>
      <c r="I31" s="13"/>
      <c r="J31" s="13"/>
    </row>
    <row r="32" spans="1:10" ht="12.75">
      <c r="A32" s="500"/>
      <c r="B32" s="458"/>
      <c r="C32" s="365"/>
      <c r="D32" s="217"/>
      <c r="E32" s="218"/>
      <c r="F32" s="218">
        <f t="shared" si="0"/>
        <v>0</v>
      </c>
      <c r="G32" s="217"/>
      <c r="H32" s="517"/>
      <c r="I32" s="13"/>
      <c r="J32" s="13"/>
    </row>
    <row r="33" spans="1:11" ht="12.75">
      <c r="A33" s="13"/>
      <c r="B33" s="202"/>
      <c r="C33" s="112"/>
      <c r="D33" s="112"/>
      <c r="E33" s="112"/>
      <c r="F33" s="211">
        <f>SUM(F22:F32)</f>
        <v>0</v>
      </c>
      <c r="G33" s="199">
        <f>IF(F33&lt;&gt;0,(F22*G22+F23*G23+F24*G24+F25*G25+F26*G26+F27*G27+F28*G28+F29*G29+F30*G30+F31*G31+F32*G32)/F33,"")</f>
      </c>
      <c r="H33" s="112"/>
      <c r="J33" s="13"/>
      <c r="K33" s="103" t="e">
        <f>F33*G33</f>
        <v>#VALUE!</v>
      </c>
    </row>
    <row r="34" spans="1:10" ht="12.75">
      <c r="A34" s="13"/>
      <c r="B34" s="202"/>
      <c r="C34" s="112"/>
      <c r="D34" s="112"/>
      <c r="E34" s="112"/>
      <c r="F34" s="202" t="s">
        <v>51</v>
      </c>
      <c r="G34" s="514" t="s">
        <v>52</v>
      </c>
      <c r="H34" s="493"/>
      <c r="I34" s="13"/>
      <c r="J34" s="13"/>
    </row>
    <row r="35" spans="1:10" ht="12.75">
      <c r="A35" s="13"/>
      <c r="B35" s="202"/>
      <c r="C35" s="112"/>
      <c r="D35" s="112"/>
      <c r="E35" s="112"/>
      <c r="F35" s="202"/>
      <c r="G35" s="230"/>
      <c r="H35" s="115"/>
      <c r="I35" s="13"/>
      <c r="J35" s="13"/>
    </row>
    <row r="36" spans="1:10" ht="12.75">
      <c r="A36" s="13"/>
      <c r="B36" s="202"/>
      <c r="C36" s="112"/>
      <c r="D36" s="112"/>
      <c r="E36" s="112"/>
      <c r="F36" s="202"/>
      <c r="G36" s="230"/>
      <c r="H36" s="115"/>
      <c r="I36" s="13"/>
      <c r="J36" s="13"/>
    </row>
    <row r="37" spans="1:10" ht="12.75">
      <c r="A37" s="174" t="s">
        <v>278</v>
      </c>
      <c r="B37" s="13"/>
      <c r="C37" s="13"/>
      <c r="D37" s="13"/>
      <c r="E37" s="13"/>
      <c r="F37" s="13"/>
      <c r="G37" s="13"/>
      <c r="H37" s="112"/>
      <c r="I37" s="13"/>
      <c r="J37" s="13"/>
    </row>
    <row r="38" spans="1:11" ht="17.25" customHeight="1">
      <c r="A38" s="479" t="s">
        <v>306</v>
      </c>
      <c r="B38" s="369" t="s">
        <v>33</v>
      </c>
      <c r="C38" s="383"/>
      <c r="D38" s="383"/>
      <c r="E38" s="466"/>
      <c r="F38" s="507" t="s">
        <v>284</v>
      </c>
      <c r="G38" s="507"/>
      <c r="H38" s="507"/>
      <c r="I38" s="471" t="s">
        <v>283</v>
      </c>
      <c r="J38" s="13"/>
      <c r="K38" s="13"/>
    </row>
    <row r="39" spans="1:11" ht="17.25" customHeight="1">
      <c r="A39" s="496"/>
      <c r="B39" s="305" t="s">
        <v>26</v>
      </c>
      <c r="C39" s="306" t="s">
        <v>83</v>
      </c>
      <c r="D39" s="266" t="s">
        <v>342</v>
      </c>
      <c r="E39" s="176" t="s">
        <v>280</v>
      </c>
      <c r="F39" s="467" t="s">
        <v>26</v>
      </c>
      <c r="G39" s="508"/>
      <c r="H39" s="176" t="s">
        <v>107</v>
      </c>
      <c r="I39" s="362"/>
      <c r="J39" s="13"/>
      <c r="K39" s="13"/>
    </row>
    <row r="40" spans="1:11" ht="39" customHeight="1">
      <c r="A40" s="195" t="s">
        <v>238</v>
      </c>
      <c r="B40" s="196">
        <v>2</v>
      </c>
      <c r="C40" s="205"/>
      <c r="D40" s="205"/>
      <c r="E40" s="205">
        <f>C40*D40/100</f>
        <v>0</v>
      </c>
      <c r="F40" s="196">
        <f>INDEX(TANEXO,MATCH("CmC",TANEXO_TIPO,),MATCH("EMI_"&amp;Inicio!$AB$1,TANEXO_CAMPOS,))</f>
        <v>2</v>
      </c>
      <c r="G40" s="235"/>
      <c r="H40" s="203">
        <v>3.664</v>
      </c>
      <c r="I40" s="198">
        <f>IF(ISERROR($K41),"",$K41)</f>
        <v>0</v>
      </c>
      <c r="J40" s="13"/>
      <c r="K40" s="13"/>
    </row>
    <row r="41" spans="1:11" ht="12.75">
      <c r="A41" s="13"/>
      <c r="B41" s="202"/>
      <c r="C41" s="112"/>
      <c r="D41" s="112"/>
      <c r="E41" s="112"/>
      <c r="F41" s="202"/>
      <c r="G41" s="230"/>
      <c r="H41" s="115"/>
      <c r="J41" s="13"/>
      <c r="K41" s="104">
        <f>IF(E40&lt;&gt;"",E40*H40,"")</f>
        <v>0</v>
      </c>
    </row>
    <row r="42" spans="1:10" ht="12.75">
      <c r="A42" s="13"/>
      <c r="B42" s="13"/>
      <c r="C42" s="13"/>
      <c r="D42" s="13"/>
      <c r="E42" s="13"/>
      <c r="F42" s="13"/>
      <c r="G42" s="13"/>
      <c r="H42" s="13"/>
      <c r="I42" s="13"/>
      <c r="J42" s="13"/>
    </row>
    <row r="43" spans="1:10" ht="12.75">
      <c r="A43" s="473" t="s">
        <v>286</v>
      </c>
      <c r="B43" s="474"/>
      <c r="C43" s="474"/>
      <c r="D43" s="474"/>
      <c r="E43" s="474"/>
      <c r="F43" s="475"/>
      <c r="G43" s="199">
        <f>IF($H22="",$I40,$H22)</f>
        <v>0</v>
      </c>
      <c r="H43" s="13"/>
      <c r="I43" s="13"/>
      <c r="J43" s="13"/>
    </row>
    <row r="44" spans="1:10" ht="12.75">
      <c r="A44" s="13"/>
      <c r="B44" s="13"/>
      <c r="C44" s="13"/>
      <c r="D44" s="13"/>
      <c r="E44" s="13"/>
      <c r="F44" s="13"/>
      <c r="G44" s="13"/>
      <c r="H44" s="13"/>
      <c r="I44" s="13"/>
      <c r="J44" s="13"/>
    </row>
    <row r="45" spans="1:10" ht="12.75">
      <c r="A45" s="473" t="s">
        <v>287</v>
      </c>
      <c r="B45" s="474"/>
      <c r="C45" s="474"/>
      <c r="D45" s="474"/>
      <c r="E45" s="474"/>
      <c r="F45" s="475"/>
      <c r="G45" s="199">
        <f>IF(ISERROR($K46),"",$K46)</f>
        <v>0</v>
      </c>
      <c r="H45" s="13"/>
      <c r="I45" s="13"/>
      <c r="J45" s="13"/>
    </row>
    <row r="46" spans="1:11" ht="12.75">
      <c r="A46" s="13"/>
      <c r="B46" s="13"/>
      <c r="C46" s="13"/>
      <c r="D46" s="13"/>
      <c r="E46" s="13"/>
      <c r="F46" s="13"/>
      <c r="G46" s="13"/>
      <c r="H46" s="209"/>
      <c r="I46" s="13"/>
      <c r="K46" s="213">
        <f>IF(G14="",0,G14)-IF(G43="",0,G43)</f>
        <v>0</v>
      </c>
    </row>
    <row r="47" spans="1:10" ht="12.75">
      <c r="A47" s="13"/>
      <c r="B47" s="13"/>
      <c r="C47" s="13"/>
      <c r="D47" s="13"/>
      <c r="E47" s="13"/>
      <c r="F47" s="13"/>
      <c r="G47" s="13"/>
      <c r="H47" s="13"/>
      <c r="I47" s="13"/>
      <c r="J47" s="13"/>
    </row>
    <row r="49" ht="12.75">
      <c r="A49" s="157" t="s">
        <v>309</v>
      </c>
    </row>
    <row r="50" spans="1:10" ht="12.75">
      <c r="A50" s="13"/>
      <c r="B50" s="13"/>
      <c r="C50" s="13"/>
      <c r="D50" s="13"/>
      <c r="E50" s="13"/>
      <c r="F50" s="13"/>
      <c r="G50" s="13"/>
      <c r="H50" s="13"/>
      <c r="I50" s="13"/>
      <c r="J50" s="13"/>
    </row>
    <row r="51" spans="1:10" ht="12.75">
      <c r="A51" s="174" t="s">
        <v>278</v>
      </c>
      <c r="B51" s="13"/>
      <c r="C51" s="13"/>
      <c r="D51" s="13"/>
      <c r="E51" s="13"/>
      <c r="F51" s="13"/>
      <c r="G51" s="13"/>
      <c r="H51" s="112"/>
      <c r="I51" s="13"/>
      <c r="J51" s="13"/>
    </row>
    <row r="52" spans="1:11" ht="17.25" customHeight="1">
      <c r="A52" s="479" t="s">
        <v>288</v>
      </c>
      <c r="B52" s="369" t="s">
        <v>33</v>
      </c>
      <c r="C52" s="383"/>
      <c r="D52" s="383"/>
      <c r="E52" s="466"/>
      <c r="F52" s="507" t="s">
        <v>284</v>
      </c>
      <c r="G52" s="507"/>
      <c r="H52" s="507"/>
      <c r="I52" s="471" t="s">
        <v>283</v>
      </c>
      <c r="J52" s="13"/>
      <c r="K52" s="13"/>
    </row>
    <row r="53" spans="1:11" ht="17.25" customHeight="1">
      <c r="A53" s="496"/>
      <c r="B53" s="307" t="s">
        <v>26</v>
      </c>
      <c r="C53" s="195" t="s">
        <v>83</v>
      </c>
      <c r="D53" s="266" t="s">
        <v>340</v>
      </c>
      <c r="E53" s="176" t="s">
        <v>280</v>
      </c>
      <c r="F53" s="467" t="s">
        <v>26</v>
      </c>
      <c r="G53" s="508"/>
      <c r="H53" s="176" t="s">
        <v>107</v>
      </c>
      <c r="I53" s="362"/>
      <c r="J53" s="13"/>
      <c r="K53" s="13"/>
    </row>
    <row r="54" spans="1:11" ht="39" customHeight="1">
      <c r="A54" s="195" t="s">
        <v>239</v>
      </c>
      <c r="B54" s="196">
        <f>INDEX(TANEXO,MATCH("CmC",TANEXO_TIPO,),MATCH("ACT_"&amp;Inicio!$AB$1,TANEXO_CAMPOS,))</f>
        <v>1</v>
      </c>
      <c r="C54" s="205"/>
      <c r="D54" s="205"/>
      <c r="E54" s="205">
        <f>C54*D54/100</f>
        <v>0</v>
      </c>
      <c r="F54" s="196">
        <f>INDEX(TANEXO,MATCH("CmC",TANEXO_TIPO,),MATCH("EMI_"&amp;Inicio!$AB$1,TANEXO_CAMPOS,))</f>
        <v>2</v>
      </c>
      <c r="G54" s="235"/>
      <c r="H54" s="203">
        <v>3.664</v>
      </c>
      <c r="I54" s="198">
        <f>IF(ISERROR($K56),"",$K56)</f>
        <v>0</v>
      </c>
      <c r="J54" s="13"/>
      <c r="K54" s="13"/>
    </row>
    <row r="55" spans="1:10" ht="12.75">
      <c r="A55" s="13"/>
      <c r="B55" s="13"/>
      <c r="C55" s="13"/>
      <c r="D55" s="13"/>
      <c r="E55" s="13"/>
      <c r="F55" s="13"/>
      <c r="G55" s="13"/>
      <c r="H55" s="13"/>
      <c r="I55" s="222"/>
      <c r="J55" s="13"/>
    </row>
    <row r="56" spans="1:11" ht="12.75">
      <c r="A56" s="473" t="s">
        <v>290</v>
      </c>
      <c r="B56" s="474"/>
      <c r="C56" s="474"/>
      <c r="D56" s="474"/>
      <c r="E56" s="474"/>
      <c r="F56" s="475"/>
      <c r="G56" s="199">
        <f>I54</f>
        <v>0</v>
      </c>
      <c r="H56" s="13"/>
      <c r="J56" s="13"/>
      <c r="K56" s="224">
        <f>IF(E54&lt;&gt;"",E54*H54,"")</f>
        <v>0</v>
      </c>
    </row>
    <row r="57" spans="1:10" ht="12.75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3:10" ht="12.75">
      <c r="C58" s="13"/>
      <c r="D58" s="13"/>
      <c r="E58" s="13"/>
      <c r="F58" s="13"/>
      <c r="G58" s="13"/>
      <c r="H58" s="13"/>
      <c r="I58" s="13"/>
      <c r="J58" s="13"/>
    </row>
    <row r="59" spans="1:10" ht="24" customHeight="1">
      <c r="A59" s="509" t="s">
        <v>308</v>
      </c>
      <c r="B59" s="510"/>
      <c r="C59" s="510"/>
      <c r="D59" s="510"/>
      <c r="E59" s="510"/>
      <c r="F59" s="510"/>
      <c r="G59" s="510"/>
      <c r="H59" s="510"/>
      <c r="I59" s="13"/>
      <c r="J59" s="13"/>
    </row>
    <row r="60" spans="1:10" ht="12.75">
      <c r="A60" s="13"/>
      <c r="B60" s="13"/>
      <c r="C60" s="13"/>
      <c r="D60" s="13"/>
      <c r="E60" s="13"/>
      <c r="F60" s="13"/>
      <c r="G60" s="13"/>
      <c r="H60" s="13"/>
      <c r="I60" s="13"/>
      <c r="J60" s="13"/>
    </row>
    <row r="61" spans="1:10" ht="12.75">
      <c r="A61" s="174" t="s">
        <v>281</v>
      </c>
      <c r="B61" s="13"/>
      <c r="C61" s="112"/>
      <c r="D61" s="112"/>
      <c r="E61" s="112"/>
      <c r="F61" s="112"/>
      <c r="G61" s="112"/>
      <c r="H61" s="112"/>
      <c r="I61" s="13"/>
      <c r="J61" s="13"/>
    </row>
    <row r="62" spans="1:11" ht="17.25" customHeight="1">
      <c r="A62" s="479" t="s">
        <v>237</v>
      </c>
      <c r="B62" s="369" t="s">
        <v>40</v>
      </c>
      <c r="C62" s="383"/>
      <c r="D62" s="383"/>
      <c r="E62" s="383"/>
      <c r="F62" s="383"/>
      <c r="G62" s="466"/>
      <c r="H62" s="497" t="s">
        <v>285</v>
      </c>
      <c r="J62" s="13"/>
      <c r="K62" s="13" t="e">
        <f>F75*G75</f>
        <v>#VALUE!</v>
      </c>
    </row>
    <row r="63" spans="1:10" ht="17.25" customHeight="1">
      <c r="A63" s="496"/>
      <c r="B63" s="176" t="s">
        <v>26</v>
      </c>
      <c r="C63" s="176" t="s">
        <v>41</v>
      </c>
      <c r="D63" s="176" t="s">
        <v>42</v>
      </c>
      <c r="E63" s="176" t="s">
        <v>271</v>
      </c>
      <c r="F63" s="176" t="s">
        <v>43</v>
      </c>
      <c r="G63" s="176" t="s">
        <v>107</v>
      </c>
      <c r="H63" s="362"/>
      <c r="I63" s="13"/>
      <c r="J63" s="13"/>
    </row>
    <row r="64" spans="1:10" ht="12.75">
      <c r="A64" s="498" t="s">
        <v>239</v>
      </c>
      <c r="B64" s="456">
        <v>2</v>
      </c>
      <c r="C64" s="521"/>
      <c r="D64" s="201" t="s">
        <v>44</v>
      </c>
      <c r="E64" s="208"/>
      <c r="F64" s="206">
        <f>$C$64*$E64/100</f>
        <v>0</v>
      </c>
      <c r="G64" s="197">
        <v>0.44</v>
      </c>
      <c r="H64" s="511">
        <f>IF(ISERROR($K62),"",$K62)</f>
      </c>
      <c r="I64" s="13"/>
      <c r="J64" s="13"/>
    </row>
    <row r="65" spans="1:10" ht="12.75">
      <c r="A65" s="499"/>
      <c r="B65" s="457"/>
      <c r="C65" s="522"/>
      <c r="D65" s="201" t="s">
        <v>45</v>
      </c>
      <c r="E65" s="208"/>
      <c r="F65" s="206">
        <f aca="true" t="shared" si="1" ref="F65:F74">$C$64*E65/100</f>
        <v>0</v>
      </c>
      <c r="G65" s="201">
        <v>0.522</v>
      </c>
      <c r="H65" s="512"/>
      <c r="I65" s="13"/>
      <c r="J65" s="13"/>
    </row>
    <row r="66" spans="1:10" ht="12.75">
      <c r="A66" s="499"/>
      <c r="B66" s="457"/>
      <c r="C66" s="522"/>
      <c r="D66" s="201" t="s">
        <v>46</v>
      </c>
      <c r="E66" s="208"/>
      <c r="F66" s="206">
        <f t="shared" si="1"/>
        <v>0</v>
      </c>
      <c r="G66" s="201">
        <v>0.415</v>
      </c>
      <c r="H66" s="512"/>
      <c r="I66" s="13"/>
      <c r="J66" s="13"/>
    </row>
    <row r="67" spans="1:10" ht="12.75">
      <c r="A67" s="499"/>
      <c r="B67" s="457"/>
      <c r="C67" s="522"/>
      <c r="D67" s="201" t="s">
        <v>47</v>
      </c>
      <c r="E67" s="208"/>
      <c r="F67" s="206">
        <f t="shared" si="1"/>
        <v>0</v>
      </c>
      <c r="G67" s="201">
        <v>0.223</v>
      </c>
      <c r="H67" s="512"/>
      <c r="I67" s="13"/>
      <c r="J67" s="13"/>
    </row>
    <row r="68" spans="1:10" ht="12.75">
      <c r="A68" s="499"/>
      <c r="B68" s="457"/>
      <c r="C68" s="522"/>
      <c r="D68" s="201" t="s">
        <v>48</v>
      </c>
      <c r="E68" s="208"/>
      <c r="F68" s="206">
        <f t="shared" si="1"/>
        <v>0</v>
      </c>
      <c r="G68" s="201">
        <v>0.318</v>
      </c>
      <c r="H68" s="512"/>
      <c r="I68" s="13"/>
      <c r="J68" s="13"/>
    </row>
    <row r="69" spans="1:10" ht="12.75">
      <c r="A69" s="499"/>
      <c r="B69" s="457"/>
      <c r="C69" s="522"/>
      <c r="D69" s="201" t="s">
        <v>49</v>
      </c>
      <c r="E69" s="208"/>
      <c r="F69" s="206">
        <f t="shared" si="1"/>
        <v>0</v>
      </c>
      <c r="G69" s="201">
        <v>0.596</v>
      </c>
      <c r="H69" s="512"/>
      <c r="I69" s="13"/>
      <c r="J69" s="13"/>
    </row>
    <row r="70" spans="1:10" ht="12.75">
      <c r="A70" s="499"/>
      <c r="B70" s="457"/>
      <c r="C70" s="522"/>
      <c r="D70" s="201" t="s">
        <v>50</v>
      </c>
      <c r="E70" s="208"/>
      <c r="F70" s="206">
        <f t="shared" si="1"/>
        <v>0</v>
      </c>
      <c r="G70" s="201">
        <v>0.298</v>
      </c>
      <c r="H70" s="512"/>
      <c r="I70" s="13"/>
      <c r="J70" s="13"/>
    </row>
    <row r="71" spans="1:10" ht="12.75">
      <c r="A71" s="499"/>
      <c r="B71" s="457"/>
      <c r="C71" s="522"/>
      <c r="D71" s="236"/>
      <c r="E71" s="208"/>
      <c r="F71" s="206">
        <f t="shared" si="1"/>
        <v>0</v>
      </c>
      <c r="G71" s="236"/>
      <c r="H71" s="512"/>
      <c r="I71" s="13"/>
      <c r="J71" s="13"/>
    </row>
    <row r="72" spans="1:10" ht="12.75">
      <c r="A72" s="499"/>
      <c r="B72" s="457"/>
      <c r="C72" s="522"/>
      <c r="D72" s="236"/>
      <c r="E72" s="208"/>
      <c r="F72" s="206">
        <f t="shared" si="1"/>
        <v>0</v>
      </c>
      <c r="G72" s="236"/>
      <c r="H72" s="512"/>
      <c r="I72" s="13"/>
      <c r="J72" s="13"/>
    </row>
    <row r="73" spans="1:10" ht="12.75">
      <c r="A73" s="499"/>
      <c r="B73" s="457"/>
      <c r="C73" s="522"/>
      <c r="D73" s="236"/>
      <c r="E73" s="208"/>
      <c r="F73" s="206">
        <f t="shared" si="1"/>
        <v>0</v>
      </c>
      <c r="G73" s="236"/>
      <c r="H73" s="512"/>
      <c r="I73" s="13"/>
      <c r="J73" s="13"/>
    </row>
    <row r="74" spans="1:10" ht="12.75">
      <c r="A74" s="500"/>
      <c r="B74" s="458"/>
      <c r="C74" s="523"/>
      <c r="D74" s="236"/>
      <c r="E74" s="208"/>
      <c r="F74" s="206">
        <f t="shared" si="1"/>
        <v>0</v>
      </c>
      <c r="G74" s="236"/>
      <c r="H74" s="513"/>
      <c r="I74" s="13"/>
      <c r="J74" s="13"/>
    </row>
    <row r="75" spans="1:10" ht="12.75">
      <c r="A75" s="13"/>
      <c r="B75" s="202"/>
      <c r="C75" s="112"/>
      <c r="D75" s="112"/>
      <c r="E75" s="112"/>
      <c r="F75" s="211">
        <f>SUM(F64:F74)</f>
        <v>0</v>
      </c>
      <c r="G75" s="199">
        <f>IF(F75&lt;&gt;0,(F64*G64+F65*G65+F66*G66+F67*G67+F68*G68+F69*G69+F70*G70+F71*G71+F72*G72+F73*G73+F74*G74)/F75,"")</f>
      </c>
      <c r="H75" s="112"/>
      <c r="I75" s="103"/>
      <c r="J75" s="13"/>
    </row>
    <row r="76" spans="1:10" ht="12.75">
      <c r="A76" s="13"/>
      <c r="B76" s="202"/>
      <c r="C76" s="112"/>
      <c r="D76" s="112"/>
      <c r="E76" s="112"/>
      <c r="F76" s="202" t="s">
        <v>51</v>
      </c>
      <c r="G76" s="514" t="s">
        <v>52</v>
      </c>
      <c r="H76" s="493"/>
      <c r="I76" s="13"/>
      <c r="J76" s="13"/>
    </row>
    <row r="77" spans="1:10" ht="12.75">
      <c r="A77" s="13"/>
      <c r="B77" s="202"/>
      <c r="C77" s="112"/>
      <c r="D77" s="112"/>
      <c r="E77" s="112"/>
      <c r="F77" s="202"/>
      <c r="G77" s="230"/>
      <c r="H77" s="115"/>
      <c r="I77" s="13"/>
      <c r="J77" s="13"/>
    </row>
    <row r="78" spans="1:10" ht="12.75">
      <c r="A78" s="13"/>
      <c r="B78" s="202"/>
      <c r="C78" s="112"/>
      <c r="D78" s="112"/>
      <c r="E78" s="112"/>
      <c r="F78" s="202"/>
      <c r="G78" s="230"/>
      <c r="H78" s="115"/>
      <c r="I78" s="13"/>
      <c r="J78" s="13"/>
    </row>
    <row r="79" spans="1:10" ht="12.75">
      <c r="A79" s="174" t="s">
        <v>278</v>
      </c>
      <c r="B79" s="13"/>
      <c r="C79" s="13"/>
      <c r="D79" s="13"/>
      <c r="E79" s="13"/>
      <c r="F79" s="13"/>
      <c r="G79" s="13"/>
      <c r="H79" s="112"/>
      <c r="I79" s="13"/>
      <c r="J79" s="13"/>
    </row>
    <row r="80" spans="1:11" ht="17.25" customHeight="1">
      <c r="A80" s="479" t="s">
        <v>307</v>
      </c>
      <c r="B80" s="369" t="s">
        <v>33</v>
      </c>
      <c r="C80" s="383"/>
      <c r="D80" s="383"/>
      <c r="E80" s="466"/>
      <c r="F80" s="507" t="s">
        <v>284</v>
      </c>
      <c r="G80" s="507"/>
      <c r="H80" s="507"/>
      <c r="I80" s="471" t="s">
        <v>283</v>
      </c>
      <c r="J80" s="13"/>
      <c r="K80" s="13"/>
    </row>
    <row r="81" spans="1:11" ht="17.25" customHeight="1">
      <c r="A81" s="496"/>
      <c r="B81" s="304" t="s">
        <v>26</v>
      </c>
      <c r="C81" s="176" t="s">
        <v>83</v>
      </c>
      <c r="D81" s="266" t="s">
        <v>340</v>
      </c>
      <c r="E81" s="176" t="s">
        <v>280</v>
      </c>
      <c r="F81" s="467" t="s">
        <v>26</v>
      </c>
      <c r="G81" s="508"/>
      <c r="H81" s="176" t="s">
        <v>107</v>
      </c>
      <c r="I81" s="362"/>
      <c r="J81" s="13"/>
      <c r="K81" s="13"/>
    </row>
    <row r="82" spans="1:11" ht="39" customHeight="1">
      <c r="A82" s="195" t="s">
        <v>239</v>
      </c>
      <c r="B82" s="196">
        <v>2</v>
      </c>
      <c r="C82" s="205"/>
      <c r="D82" s="205"/>
      <c r="E82" s="205">
        <f>C82*D82/100</f>
        <v>0</v>
      </c>
      <c r="F82" s="196">
        <f>INDEX(TANEXO,MATCH("CmC",TANEXO_TIPO,),MATCH("EMI_"&amp;Inicio!$AB$1,TANEXO_CAMPOS,))</f>
        <v>2</v>
      </c>
      <c r="G82" s="235"/>
      <c r="H82" s="203">
        <v>3.664</v>
      </c>
      <c r="I82" s="198">
        <f>IF(ISERROR($K86),"",$K86)</f>
        <v>0</v>
      </c>
      <c r="J82" s="13"/>
      <c r="K82" s="13"/>
    </row>
    <row r="83" spans="1:10" ht="12.75">
      <c r="A83" s="13"/>
      <c r="B83" s="13"/>
      <c r="C83" s="13"/>
      <c r="D83" s="13"/>
      <c r="E83" s="13"/>
      <c r="F83" s="13"/>
      <c r="G83" s="13"/>
      <c r="H83" s="13"/>
      <c r="I83" s="222"/>
      <c r="J83" s="13"/>
    </row>
    <row r="84" spans="1:10" ht="12.75">
      <c r="A84" s="13"/>
      <c r="B84" s="13"/>
      <c r="C84" s="13"/>
      <c r="D84" s="13"/>
      <c r="E84" s="13"/>
      <c r="F84" s="13"/>
      <c r="G84" s="13"/>
      <c r="H84" s="13"/>
      <c r="I84" s="222"/>
      <c r="J84" s="13"/>
    </row>
    <row r="85" spans="1:10" ht="12.75">
      <c r="A85" s="473" t="s">
        <v>286</v>
      </c>
      <c r="B85" s="474"/>
      <c r="C85" s="474"/>
      <c r="D85" s="474"/>
      <c r="E85" s="474"/>
      <c r="F85" s="475"/>
      <c r="G85" s="199">
        <f>IF($H64="",$I82,$H64)</f>
        <v>0</v>
      </c>
      <c r="H85" s="13"/>
      <c r="I85" s="222"/>
      <c r="J85" s="13"/>
    </row>
    <row r="86" spans="1:11" ht="12.75">
      <c r="A86" s="13"/>
      <c r="B86" s="13"/>
      <c r="C86" s="13"/>
      <c r="D86" s="13"/>
      <c r="E86" s="13"/>
      <c r="F86" s="13"/>
      <c r="G86" s="13"/>
      <c r="H86" s="13"/>
      <c r="J86" s="13"/>
      <c r="K86" s="13">
        <f>IF(E82&lt;&gt;"",E82*H82,"")</f>
        <v>0</v>
      </c>
    </row>
    <row r="87" spans="1:11" ht="12.75">
      <c r="A87" s="473" t="s">
        <v>289</v>
      </c>
      <c r="B87" s="474"/>
      <c r="C87" s="474"/>
      <c r="D87" s="474"/>
      <c r="E87" s="474"/>
      <c r="F87" s="475"/>
      <c r="G87" s="199">
        <f>IF(ISERROR($K87),"",$K87)</f>
        <v>0</v>
      </c>
      <c r="H87" s="13"/>
      <c r="J87" s="13"/>
      <c r="K87" s="213">
        <f>IF($G56="",0,$G56)-IF($G85="",0,$G85)</f>
        <v>0</v>
      </c>
    </row>
    <row r="88" spans="1:10" ht="12.75">
      <c r="A88" s="13"/>
      <c r="B88" s="13"/>
      <c r="C88" s="13"/>
      <c r="D88" s="13"/>
      <c r="E88" s="13"/>
      <c r="F88" s="13"/>
      <c r="G88" s="13"/>
      <c r="H88" s="209"/>
      <c r="I88" s="13"/>
      <c r="J88" s="13"/>
    </row>
    <row r="89" spans="1:10" ht="12.75">
      <c r="A89" s="13"/>
      <c r="B89" s="13"/>
      <c r="C89" s="13"/>
      <c r="D89" s="13"/>
      <c r="E89" s="13"/>
      <c r="F89" s="13"/>
      <c r="G89" s="13"/>
      <c r="H89" s="209"/>
      <c r="I89" s="13"/>
      <c r="J89" s="13"/>
    </row>
    <row r="91" spans="1:11" ht="14.25" customHeight="1">
      <c r="A91" s="518" t="s">
        <v>282</v>
      </c>
      <c r="B91" s="519"/>
      <c r="C91" s="519"/>
      <c r="D91" s="519"/>
      <c r="E91" s="519"/>
      <c r="F91" s="520"/>
      <c r="G91" s="204">
        <f>IF(ISERROR($K91),"",$K91)</f>
        <v>0</v>
      </c>
      <c r="K91" s="223">
        <f>G45+G87</f>
        <v>0</v>
      </c>
    </row>
    <row r="93" ht="12.75">
      <c r="H93" s="210"/>
    </row>
  </sheetData>
  <sheetProtection password="D51C" sheet="1" objects="1" scenarios="1"/>
  <mergeCells count="46">
    <mergeCell ref="I10:I11"/>
    <mergeCell ref="B10:E10"/>
    <mergeCell ref="H20:H21"/>
    <mergeCell ref="A45:F45"/>
    <mergeCell ref="A20:A21"/>
    <mergeCell ref="F11:G11"/>
    <mergeCell ref="A22:A32"/>
    <mergeCell ref="B22:B32"/>
    <mergeCell ref="C22:C32"/>
    <mergeCell ref="I38:I39"/>
    <mergeCell ref="A91:F91"/>
    <mergeCell ref="A56:F56"/>
    <mergeCell ref="A62:A63"/>
    <mergeCell ref="B62:G62"/>
    <mergeCell ref="A64:A74"/>
    <mergeCell ref="B64:B74"/>
    <mergeCell ref="C64:C74"/>
    <mergeCell ref="A85:F85"/>
    <mergeCell ref="A87:F87"/>
    <mergeCell ref="A59:H59"/>
    <mergeCell ref="I52:I53"/>
    <mergeCell ref="F39:G39"/>
    <mergeCell ref="C6:H6"/>
    <mergeCell ref="G76:H76"/>
    <mergeCell ref="G34:H34"/>
    <mergeCell ref="H62:H63"/>
    <mergeCell ref="A43:F43"/>
    <mergeCell ref="H22:H32"/>
    <mergeCell ref="A52:A53"/>
    <mergeCell ref="F38:H38"/>
    <mergeCell ref="A80:A81"/>
    <mergeCell ref="F80:H80"/>
    <mergeCell ref="H64:H74"/>
    <mergeCell ref="B80:E80"/>
    <mergeCell ref="I80:I81"/>
    <mergeCell ref="F81:G81"/>
    <mergeCell ref="F10:H10"/>
    <mergeCell ref="A14:F14"/>
    <mergeCell ref="F53:G53"/>
    <mergeCell ref="B20:G20"/>
    <mergeCell ref="A17:H17"/>
    <mergeCell ref="B38:E38"/>
    <mergeCell ref="B52:E52"/>
    <mergeCell ref="A38:A39"/>
    <mergeCell ref="A10:A11"/>
    <mergeCell ref="F52:H52"/>
  </mergeCells>
  <printOptions horizontalCentered="1" verticalCentered="1"/>
  <pageMargins left="0.75" right="0.75" top="1" bottom="1" header="0" footer="0"/>
  <pageSetup blackAndWhite="1" horizontalDpi="600" verticalDpi="600" orientation="landscape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"/>
  <dimension ref="A1:L28"/>
  <sheetViews>
    <sheetView showGridLines="0" showRowColHeaders="0" zoomScalePageLayoutView="0" workbookViewId="0" topLeftCell="B1">
      <pane ySplit="5" topLeftCell="A6" activePane="bottomLeft" state="frozen"/>
      <selection pane="topLeft" activeCell="A1" sqref="A1"/>
      <selection pane="bottomLeft" activeCell="G27" sqref="G27"/>
    </sheetView>
  </sheetViews>
  <sheetFormatPr defaultColWidth="11.421875" defaultRowHeight="12.75"/>
  <cols>
    <col min="1" max="1" width="13.7109375" style="12" customWidth="1"/>
    <col min="2" max="3" width="11.421875" style="12" customWidth="1"/>
    <col min="4" max="4" width="13.7109375" style="12" customWidth="1"/>
    <col min="5" max="7" width="11.421875" style="12" customWidth="1"/>
    <col min="8" max="8" width="11.8515625" style="12" customWidth="1"/>
    <col min="9" max="9" width="11.421875" style="12" customWidth="1"/>
    <col min="10" max="10" width="9.7109375" style="12" customWidth="1"/>
    <col min="11" max="11" width="13.28125" style="12" customWidth="1"/>
    <col min="12" max="16384" width="11.421875" style="12" customWidth="1"/>
  </cols>
  <sheetData>
    <row r="1" spans="1:4" ht="12.75">
      <c r="A1" s="157" t="s">
        <v>118</v>
      </c>
      <c r="B1" s="41"/>
      <c r="C1" s="41"/>
      <c r="D1" s="41"/>
    </row>
    <row r="3" spans="1:5" ht="12.75">
      <c r="A3" s="29" t="s">
        <v>103</v>
      </c>
      <c r="B3" s="30"/>
      <c r="C3" s="30"/>
      <c r="D3" s="30"/>
      <c r="E3" s="30"/>
    </row>
    <row r="4" spans="1:6" ht="14.25">
      <c r="A4" s="15" t="s">
        <v>98</v>
      </c>
      <c r="B4" s="16"/>
      <c r="C4" s="16"/>
      <c r="D4" s="16"/>
      <c r="E4" s="16"/>
      <c r="F4" s="16"/>
    </row>
    <row r="5" spans="1:12" s="60" customFormat="1" ht="12.75">
      <c r="A5" s="58" t="s">
        <v>117</v>
      </c>
      <c r="B5" s="59"/>
      <c r="C5" s="433">
        <f>IF(Inicio!M12&lt;&gt;0,Inicio!M12,"")</f>
      </c>
      <c r="D5" s="433"/>
      <c r="E5" s="433"/>
      <c r="F5" s="433"/>
      <c r="G5" s="433"/>
      <c r="H5" s="433"/>
      <c r="I5" s="433"/>
      <c r="J5" s="433"/>
      <c r="K5" s="59"/>
      <c r="L5" s="59"/>
    </row>
    <row r="8" spans="1:9" ht="12.75">
      <c r="A8" s="34"/>
      <c r="B8" s="526" t="s">
        <v>33</v>
      </c>
      <c r="C8" s="527"/>
      <c r="D8" s="527"/>
      <c r="E8" s="527"/>
      <c r="F8" s="528"/>
      <c r="G8" s="532" t="s">
        <v>300</v>
      </c>
      <c r="H8" s="533"/>
      <c r="I8" s="464" t="s">
        <v>283</v>
      </c>
    </row>
    <row r="9" spans="1:9" ht="12.75">
      <c r="A9" s="34"/>
      <c r="B9" s="529"/>
      <c r="C9" s="530"/>
      <c r="D9" s="530"/>
      <c r="E9" s="530"/>
      <c r="F9" s="531"/>
      <c r="G9" s="534"/>
      <c r="H9" s="535"/>
      <c r="I9" s="524"/>
    </row>
    <row r="10" spans="1:9" ht="23.25" customHeight="1">
      <c r="A10" s="279"/>
      <c r="B10" s="42" t="s">
        <v>26</v>
      </c>
      <c r="C10" s="42" t="s">
        <v>42</v>
      </c>
      <c r="D10" s="175" t="s">
        <v>310</v>
      </c>
      <c r="E10" s="42" t="s">
        <v>271</v>
      </c>
      <c r="F10" s="42" t="s">
        <v>301</v>
      </c>
      <c r="G10" s="42" t="s">
        <v>26</v>
      </c>
      <c r="H10" s="214" t="s">
        <v>303</v>
      </c>
      <c r="I10" s="525"/>
    </row>
    <row r="11" spans="1:9" ht="12.75">
      <c r="A11" s="280"/>
      <c r="B11" s="456">
        <f>INDEX(TANEXO,MATCH("ViC",TANEXO_TIPO,),MATCH("ACT_"&amp;Inicio!$AB$1,TANEXO_CAMPOS,))</f>
        <v>1</v>
      </c>
      <c r="C11" s="26" t="s">
        <v>44</v>
      </c>
      <c r="D11" s="300"/>
      <c r="E11" s="100"/>
      <c r="F11" s="207">
        <f>$D11*E11/100</f>
        <v>0</v>
      </c>
      <c r="G11" s="456">
        <f>INDEX(TANEXO,MATCH("ViC",TANEXO_TIPO,),MATCH("EMI_"&amp;Inicio!$AB$1,TANEXO_CAMPOS,))</f>
        <v>1</v>
      </c>
      <c r="H11" s="26">
        <v>0.44</v>
      </c>
      <c r="I11" s="451">
        <f>IF(F22&lt;&gt;0,F22*H22,"")</f>
      </c>
    </row>
    <row r="12" spans="1:9" ht="12.75">
      <c r="A12" s="280"/>
      <c r="B12" s="361"/>
      <c r="C12" s="26" t="s">
        <v>45</v>
      </c>
      <c r="D12" s="300"/>
      <c r="E12" s="100"/>
      <c r="F12" s="207">
        <f aca="true" t="shared" si="0" ref="F12:F21">$D12*E12/100</f>
        <v>0</v>
      </c>
      <c r="G12" s="361"/>
      <c r="H12" s="26">
        <v>0.522</v>
      </c>
      <c r="I12" s="452"/>
    </row>
    <row r="13" spans="1:9" ht="12.75">
      <c r="A13" s="280"/>
      <c r="B13" s="361"/>
      <c r="C13" s="26" t="s">
        <v>46</v>
      </c>
      <c r="D13" s="300"/>
      <c r="E13" s="100"/>
      <c r="F13" s="207">
        <f t="shared" si="0"/>
        <v>0</v>
      </c>
      <c r="G13" s="361"/>
      <c r="H13" s="26">
        <v>0.415</v>
      </c>
      <c r="I13" s="452"/>
    </row>
    <row r="14" spans="1:9" ht="12.75">
      <c r="A14" s="280"/>
      <c r="B14" s="361"/>
      <c r="C14" s="26" t="s">
        <v>47</v>
      </c>
      <c r="D14" s="300"/>
      <c r="E14" s="100"/>
      <c r="F14" s="207">
        <f t="shared" si="0"/>
        <v>0</v>
      </c>
      <c r="G14" s="361"/>
      <c r="H14" s="26">
        <v>0.223</v>
      </c>
      <c r="I14" s="452"/>
    </row>
    <row r="15" spans="1:9" ht="12.75">
      <c r="A15" s="280"/>
      <c r="B15" s="361"/>
      <c r="C15" s="26" t="s">
        <v>48</v>
      </c>
      <c r="D15" s="300"/>
      <c r="E15" s="100"/>
      <c r="F15" s="207">
        <f t="shared" si="0"/>
        <v>0</v>
      </c>
      <c r="G15" s="361"/>
      <c r="H15" s="215">
        <v>0.318</v>
      </c>
      <c r="I15" s="452"/>
    </row>
    <row r="16" spans="1:9" ht="12.75">
      <c r="A16" s="280"/>
      <c r="B16" s="362"/>
      <c r="C16" s="26" t="s">
        <v>49</v>
      </c>
      <c r="D16" s="300"/>
      <c r="E16" s="100"/>
      <c r="F16" s="207">
        <f t="shared" si="0"/>
        <v>0</v>
      </c>
      <c r="G16" s="362"/>
      <c r="H16" s="215">
        <v>0.596</v>
      </c>
      <c r="I16" s="452"/>
    </row>
    <row r="17" spans="1:9" ht="12.75">
      <c r="A17" s="280"/>
      <c r="B17" s="536"/>
      <c r="C17" s="26" t="s">
        <v>50</v>
      </c>
      <c r="D17" s="300"/>
      <c r="E17" s="100"/>
      <c r="F17" s="207">
        <f t="shared" si="0"/>
        <v>0</v>
      </c>
      <c r="G17" s="536"/>
      <c r="H17" s="215">
        <v>0.298</v>
      </c>
      <c r="I17" s="452"/>
    </row>
    <row r="18" spans="1:9" ht="12.75">
      <c r="A18" s="280"/>
      <c r="B18" s="537"/>
      <c r="C18" s="216"/>
      <c r="D18" s="100"/>
      <c r="E18" s="100"/>
      <c r="F18" s="207">
        <f t="shared" si="0"/>
        <v>0</v>
      </c>
      <c r="G18" s="539"/>
      <c r="H18" s="216"/>
      <c r="I18" s="452"/>
    </row>
    <row r="19" spans="1:9" ht="12.75">
      <c r="A19" s="280"/>
      <c r="B19" s="537"/>
      <c r="C19" s="216"/>
      <c r="D19" s="100"/>
      <c r="E19" s="100"/>
      <c r="F19" s="207">
        <f t="shared" si="0"/>
        <v>0</v>
      </c>
      <c r="G19" s="539"/>
      <c r="H19" s="216"/>
      <c r="I19" s="452"/>
    </row>
    <row r="20" spans="1:9" ht="12.75">
      <c r="A20" s="280"/>
      <c r="B20" s="537"/>
      <c r="C20" s="216"/>
      <c r="D20" s="100"/>
      <c r="E20" s="100"/>
      <c r="F20" s="207">
        <f t="shared" si="0"/>
        <v>0</v>
      </c>
      <c r="G20" s="539"/>
      <c r="H20" s="216"/>
      <c r="I20" s="452"/>
    </row>
    <row r="21" spans="1:9" ht="12.75">
      <c r="A21" s="280"/>
      <c r="B21" s="538"/>
      <c r="C21" s="216"/>
      <c r="D21" s="100"/>
      <c r="E21" s="100"/>
      <c r="F21" s="207">
        <f t="shared" si="0"/>
        <v>0</v>
      </c>
      <c r="G21" s="540"/>
      <c r="H21" s="216"/>
      <c r="I21" s="453"/>
    </row>
    <row r="22" spans="1:8" ht="12.75">
      <c r="A22" s="40"/>
      <c r="B22" s="40"/>
      <c r="C22" s="40"/>
      <c r="D22" s="40"/>
      <c r="F22" s="101">
        <f>SUM(F11:F21)</f>
        <v>0</v>
      </c>
      <c r="H22" s="101">
        <f>IF(F22&lt;&gt;0,(F11*H11+F12*H12+F13*H13+F14*H14+F15*H15+F16*H16+F17*H17+F18*H18+F19*H19+F20*H20+F21*H21)/F22,"")</f>
      </c>
    </row>
    <row r="23" spans="1:9" ht="12.75">
      <c r="A23" s="40"/>
      <c r="F23" s="22" t="s">
        <v>302</v>
      </c>
      <c r="H23" s="17" t="s">
        <v>52</v>
      </c>
      <c r="I23" s="40"/>
    </row>
    <row r="24" ht="12.75">
      <c r="A24" s="40"/>
    </row>
    <row r="25" ht="12.75">
      <c r="A25" s="40"/>
    </row>
    <row r="26" ht="12.75">
      <c r="A26" s="40"/>
    </row>
    <row r="27" spans="1:7" ht="12.75">
      <c r="A27" s="40"/>
      <c r="B27" s="386" t="s">
        <v>106</v>
      </c>
      <c r="C27" s="375"/>
      <c r="D27" s="375"/>
      <c r="E27" s="375"/>
      <c r="F27" s="356"/>
      <c r="G27" s="141">
        <f>IF(I11=0,"",I11)</f>
      </c>
    </row>
    <row r="28" ht="12.75">
      <c r="A28" s="40"/>
    </row>
  </sheetData>
  <sheetProtection password="D51C" sheet="1" objects="1" scenarios="1"/>
  <mergeCells count="10">
    <mergeCell ref="C5:J5"/>
    <mergeCell ref="I8:I10"/>
    <mergeCell ref="B27:F27"/>
    <mergeCell ref="B8:F9"/>
    <mergeCell ref="G8:H9"/>
    <mergeCell ref="I11:I21"/>
    <mergeCell ref="B11:B16"/>
    <mergeCell ref="B17:B21"/>
    <mergeCell ref="G11:G16"/>
    <mergeCell ref="G17:G21"/>
  </mergeCells>
  <printOptions horizontalCentered="1" verticalCentered="1"/>
  <pageMargins left="0.75" right="0.75" top="1" bottom="1" header="0" footer="0"/>
  <pageSetup blackAndWhite="1"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</dc:creator>
  <cp:keywords/>
  <dc:description/>
  <cp:lastModifiedBy>aula</cp:lastModifiedBy>
  <cp:lastPrinted>2011-12-15T11:03:57Z</cp:lastPrinted>
  <dcterms:created xsi:type="dcterms:W3CDTF">2005-10-11T13:03:29Z</dcterms:created>
  <dcterms:modified xsi:type="dcterms:W3CDTF">2020-09-15T12:17:01Z</dcterms:modified>
  <cp:category/>
  <cp:version/>
  <cp:contentType/>
  <cp:contentStatus/>
</cp:coreProperties>
</file>